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6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5" i="1" l="1"/>
  <c r="K75" i="1"/>
  <c r="F75" i="1"/>
  <c r="L74" i="1"/>
  <c r="K74" i="1"/>
  <c r="F74" i="1"/>
  <c r="L73" i="1"/>
  <c r="K73" i="1"/>
  <c r="F73" i="1"/>
  <c r="L72" i="1"/>
  <c r="K72" i="1"/>
  <c r="F72" i="1"/>
  <c r="L71" i="1"/>
  <c r="K71" i="1"/>
  <c r="F71" i="1"/>
  <c r="L70" i="1"/>
  <c r="K70" i="1"/>
  <c r="F70" i="1"/>
  <c r="L69" i="1"/>
  <c r="K69" i="1"/>
  <c r="F69" i="1"/>
  <c r="L32" i="1"/>
  <c r="K32" i="1"/>
  <c r="I32" i="1"/>
  <c r="F32" i="1"/>
  <c r="L31" i="1"/>
  <c r="K31" i="1"/>
  <c r="I31" i="1"/>
  <c r="F31" i="1"/>
  <c r="L30" i="1"/>
  <c r="K30" i="1"/>
  <c r="I30" i="1"/>
  <c r="F30" i="1"/>
  <c r="M29" i="1"/>
  <c r="L29" i="1"/>
  <c r="K29" i="1"/>
  <c r="I29" i="1"/>
  <c r="E29" i="1"/>
  <c r="L68" i="1"/>
  <c r="L67" i="1"/>
  <c r="L65" i="1"/>
  <c r="L59" i="1"/>
  <c r="L58" i="1"/>
  <c r="L51" i="1"/>
  <c r="L48" i="1"/>
  <c r="K46" i="1"/>
  <c r="L46" i="1"/>
  <c r="L44" i="1"/>
  <c r="L26" i="1"/>
  <c r="L21" i="1"/>
  <c r="L18" i="1"/>
  <c r="L13" i="1"/>
  <c r="L11" i="1"/>
  <c r="L16" i="1"/>
  <c r="L80" i="1"/>
  <c r="K21" i="1"/>
  <c r="M62" i="1"/>
  <c r="M52" i="1"/>
  <c r="M51" i="1"/>
  <c r="M48" i="1"/>
  <c r="M47" i="1"/>
  <c r="M46" i="1"/>
  <c r="M45" i="1"/>
  <c r="M44" i="1"/>
  <c r="M43" i="1"/>
  <c r="M42" i="1"/>
  <c r="M41" i="1"/>
  <c r="M40" i="1"/>
  <c r="M37" i="1"/>
  <c r="M36" i="1"/>
  <c r="M35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85" i="1"/>
  <c r="L84" i="1"/>
  <c r="L83" i="1"/>
  <c r="L82" i="1"/>
  <c r="L81" i="1"/>
  <c r="L79" i="1"/>
  <c r="L78" i="1"/>
  <c r="L77" i="1"/>
  <c r="L76" i="1"/>
  <c r="L66" i="1"/>
  <c r="L64" i="1"/>
  <c r="L63" i="1"/>
  <c r="L62" i="1"/>
  <c r="L61" i="1"/>
  <c r="L60" i="1"/>
  <c r="L57" i="1"/>
  <c r="L56" i="1"/>
  <c r="L55" i="1"/>
  <c r="L54" i="1"/>
  <c r="L53" i="1"/>
  <c r="L52" i="1"/>
  <c r="L50" i="1"/>
  <c r="L49" i="1"/>
  <c r="L47" i="1"/>
  <c r="L45" i="1"/>
  <c r="L43" i="1"/>
  <c r="L42" i="1"/>
  <c r="L41" i="1"/>
  <c r="L40" i="1"/>
  <c r="L37" i="1"/>
  <c r="L36" i="1"/>
  <c r="L35" i="1"/>
  <c r="L34" i="1"/>
  <c r="L33" i="1"/>
  <c r="L28" i="1"/>
  <c r="L27" i="1"/>
  <c r="L25" i="1"/>
  <c r="L24" i="1"/>
  <c r="L23" i="1"/>
  <c r="L22" i="1"/>
  <c r="L20" i="1"/>
  <c r="L19" i="1"/>
  <c r="L17" i="1"/>
  <c r="L15" i="1"/>
  <c r="L14" i="1"/>
  <c r="L12" i="1"/>
  <c r="K85" i="1"/>
  <c r="K84" i="1"/>
  <c r="K83" i="1"/>
  <c r="K82" i="1"/>
  <c r="K81" i="1"/>
  <c r="K80" i="1"/>
  <c r="K79" i="1"/>
  <c r="K78" i="1"/>
  <c r="K77" i="1"/>
  <c r="K76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7" i="1"/>
  <c r="K36" i="1"/>
  <c r="K35" i="1"/>
  <c r="K34" i="1"/>
  <c r="K33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2" i="1"/>
  <c r="K11" i="1"/>
  <c r="I48" i="1"/>
  <c r="I47" i="1"/>
  <c r="I46" i="1"/>
  <c r="I45" i="1"/>
  <c r="I44" i="1"/>
  <c r="I43" i="1"/>
  <c r="I42" i="1"/>
  <c r="I41" i="1"/>
  <c r="I40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M10" i="1"/>
  <c r="L10" i="1"/>
  <c r="K10" i="1"/>
  <c r="J10" i="1"/>
  <c r="I10" i="1"/>
  <c r="F85" i="1"/>
  <c r="P85" i="1" s="1"/>
  <c r="Q85" i="1" s="1"/>
  <c r="R85" i="1" s="1"/>
  <c r="S85" i="1" s="1"/>
  <c r="F84" i="1"/>
  <c r="F83" i="1"/>
  <c r="P83" i="1" s="1"/>
  <c r="Q83" i="1" s="1"/>
  <c r="R83" i="1" s="1"/>
  <c r="S83" i="1" s="1"/>
  <c r="F82" i="1"/>
  <c r="P82" i="1" s="1"/>
  <c r="Q82" i="1" s="1"/>
  <c r="R82" i="1" s="1"/>
  <c r="S82" i="1" s="1"/>
  <c r="F81" i="1"/>
  <c r="P81" i="1" s="1"/>
  <c r="Q81" i="1" s="1"/>
  <c r="R81" i="1" s="1"/>
  <c r="S81" i="1" s="1"/>
  <c r="F80" i="1"/>
  <c r="F79" i="1"/>
  <c r="F78" i="1"/>
  <c r="F77" i="1"/>
  <c r="F76" i="1"/>
  <c r="F68" i="1"/>
  <c r="F67" i="1"/>
  <c r="F66" i="1"/>
  <c r="P66" i="1" s="1"/>
  <c r="Q66" i="1" s="1"/>
  <c r="R66" i="1" s="1"/>
  <c r="S66" i="1" s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7" i="1"/>
  <c r="F35" i="1"/>
  <c r="F34" i="1"/>
  <c r="F33" i="1"/>
  <c r="P33" i="1" s="1"/>
  <c r="Q33" i="1" s="1"/>
  <c r="R33" i="1" s="1"/>
  <c r="S33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62" i="1"/>
  <c r="E52" i="1"/>
  <c r="E51" i="1"/>
  <c r="E48" i="1"/>
  <c r="E47" i="1"/>
  <c r="E46" i="1"/>
  <c r="E45" i="1"/>
  <c r="E44" i="1"/>
  <c r="E43" i="1"/>
  <c r="P43" i="1" s="1"/>
  <c r="Q43" i="1" s="1"/>
  <c r="R43" i="1" s="1"/>
  <c r="S43" i="1" s="1"/>
  <c r="E42" i="1"/>
  <c r="E41" i="1"/>
  <c r="E40" i="1"/>
  <c r="E37" i="1"/>
  <c r="E36" i="1"/>
  <c r="E35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P17" i="1"/>
  <c r="Q17" i="1" s="1"/>
  <c r="R17" i="1" s="1"/>
  <c r="S17" i="1" s="1"/>
  <c r="P56" i="1"/>
  <c r="Q56" i="1" s="1"/>
  <c r="R56" i="1" s="1"/>
  <c r="S56" i="1" s="1"/>
  <c r="P80" i="1"/>
  <c r="Q80" i="1" s="1"/>
  <c r="R80" i="1" s="1"/>
  <c r="S80" i="1" s="1"/>
  <c r="P84" i="1"/>
  <c r="Q84" i="1" s="1"/>
  <c r="R84" i="1" s="1"/>
  <c r="S84" i="1" s="1"/>
  <c r="P61" i="1"/>
  <c r="Q61" i="1" s="1"/>
  <c r="R61" i="1" s="1"/>
  <c r="S61" i="1" s="1"/>
  <c r="P79" i="1"/>
  <c r="Q79" i="1" s="1"/>
  <c r="R79" i="1" s="1"/>
  <c r="S79" i="1" s="1"/>
  <c r="P49" i="1"/>
  <c r="Q49" i="1" s="1"/>
  <c r="R49" i="1" s="1"/>
  <c r="S49" i="1" s="1"/>
  <c r="P12" i="1" l="1"/>
  <c r="Q12" i="1" s="1"/>
  <c r="R12" i="1" s="1"/>
  <c r="S12" i="1" s="1"/>
  <c r="P16" i="1"/>
  <c r="Q16" i="1" s="1"/>
  <c r="R16" i="1" s="1"/>
  <c r="S16" i="1" s="1"/>
  <c r="P18" i="1"/>
  <c r="Q18" i="1" s="1"/>
  <c r="R18" i="1" s="1"/>
  <c r="S18" i="1" s="1"/>
  <c r="P22" i="1"/>
  <c r="Q22" i="1" s="1"/>
  <c r="R22" i="1" s="1"/>
  <c r="S22" i="1" s="1"/>
  <c r="P28" i="1"/>
  <c r="Q28" i="1" s="1"/>
  <c r="R28" i="1" s="1"/>
  <c r="S28" i="1" s="1"/>
  <c r="P36" i="1"/>
  <c r="Q36" i="1" s="1"/>
  <c r="R36" i="1" s="1"/>
  <c r="S36" i="1" s="1"/>
  <c r="P42" i="1"/>
  <c r="Q42" i="1" s="1"/>
  <c r="R42" i="1" s="1"/>
  <c r="S42" i="1" s="1"/>
  <c r="P48" i="1"/>
  <c r="Q48" i="1" s="1"/>
  <c r="R48" i="1" s="1"/>
  <c r="S48" i="1" s="1"/>
  <c r="P34" i="1"/>
  <c r="Q34" i="1" s="1"/>
  <c r="R34" i="1" s="1"/>
  <c r="S34" i="1" s="1"/>
  <c r="P37" i="1"/>
  <c r="Q37" i="1" s="1"/>
  <c r="R37" i="1" s="1"/>
  <c r="S37" i="1" s="1"/>
  <c r="P47" i="1"/>
  <c r="Q47" i="1" s="1"/>
  <c r="R47" i="1" s="1"/>
  <c r="S47" i="1" s="1"/>
  <c r="P51" i="1"/>
  <c r="Q51" i="1" s="1"/>
  <c r="R51" i="1" s="1"/>
  <c r="S51" i="1" s="1"/>
  <c r="P55" i="1"/>
  <c r="Q55" i="1" s="1"/>
  <c r="R55" i="1" s="1"/>
  <c r="S55" i="1" s="1"/>
  <c r="P65" i="1"/>
  <c r="Q65" i="1" s="1"/>
  <c r="R65" i="1" s="1"/>
  <c r="S65" i="1" s="1"/>
  <c r="P76" i="1"/>
  <c r="Q76" i="1" s="1"/>
  <c r="R76" i="1" s="1"/>
  <c r="S76" i="1" s="1"/>
  <c r="P50" i="1"/>
  <c r="Q50" i="1" s="1"/>
  <c r="R50" i="1" s="1"/>
  <c r="S50" i="1" s="1"/>
  <c r="P60" i="1"/>
  <c r="Q60" i="1" s="1"/>
  <c r="R60" i="1" s="1"/>
  <c r="S60" i="1" s="1"/>
  <c r="P11" i="1"/>
  <c r="Q11" i="1" s="1"/>
  <c r="R11" i="1" s="1"/>
  <c r="S11" i="1" s="1"/>
  <c r="P13" i="1"/>
  <c r="Q13" i="1" s="1"/>
  <c r="R13" i="1" s="1"/>
  <c r="S13" i="1" s="1"/>
  <c r="P15" i="1"/>
  <c r="Q15" i="1" s="1"/>
  <c r="R15" i="1" s="1"/>
  <c r="S15" i="1" s="1"/>
  <c r="P19" i="1"/>
  <c r="Q19" i="1" s="1"/>
  <c r="R19" i="1" s="1"/>
  <c r="S19" i="1" s="1"/>
  <c r="P21" i="1"/>
  <c r="Q21" i="1" s="1"/>
  <c r="R21" i="1" s="1"/>
  <c r="S21" i="1" s="1"/>
  <c r="P23" i="1"/>
  <c r="Q23" i="1" s="1"/>
  <c r="R23" i="1" s="1"/>
  <c r="S23" i="1" s="1"/>
  <c r="P25" i="1"/>
  <c r="Q25" i="1" s="1"/>
  <c r="R25" i="1" s="1"/>
  <c r="S25" i="1" s="1"/>
  <c r="P27" i="1"/>
  <c r="Q27" i="1" s="1"/>
  <c r="R27" i="1" s="1"/>
  <c r="S27" i="1" s="1"/>
  <c r="P35" i="1"/>
  <c r="Q35" i="1" s="1"/>
  <c r="R35" i="1" s="1"/>
  <c r="S35" i="1" s="1"/>
  <c r="P41" i="1"/>
  <c r="Q41" i="1" s="1"/>
  <c r="R41" i="1" s="1"/>
  <c r="S41" i="1" s="1"/>
  <c r="P45" i="1"/>
  <c r="Q45" i="1" s="1"/>
  <c r="R45" i="1" s="1"/>
  <c r="S45" i="1" s="1"/>
  <c r="P62" i="1"/>
  <c r="Q62" i="1" s="1"/>
  <c r="R62" i="1" s="1"/>
  <c r="S62" i="1" s="1"/>
  <c r="P40" i="1"/>
  <c r="Q40" i="1" s="1"/>
  <c r="R40" i="1" s="1"/>
  <c r="S40" i="1" s="1"/>
  <c r="P44" i="1"/>
  <c r="Q44" i="1" s="1"/>
  <c r="R44" i="1" s="1"/>
  <c r="S44" i="1" s="1"/>
  <c r="P46" i="1"/>
  <c r="Q46" i="1" s="1"/>
  <c r="R46" i="1" s="1"/>
  <c r="S46" i="1" s="1"/>
  <c r="P52" i="1"/>
  <c r="Q52" i="1" s="1"/>
  <c r="R52" i="1" s="1"/>
  <c r="S52" i="1" s="1"/>
  <c r="P54" i="1"/>
  <c r="Q54" i="1" s="1"/>
  <c r="R54" i="1" s="1"/>
  <c r="S54" i="1" s="1"/>
  <c r="P58" i="1"/>
  <c r="Q58" i="1" s="1"/>
  <c r="R58" i="1" s="1"/>
  <c r="S58" i="1" s="1"/>
  <c r="P64" i="1"/>
  <c r="Q64" i="1" s="1"/>
  <c r="R64" i="1" s="1"/>
  <c r="S64" i="1" s="1"/>
  <c r="P68" i="1"/>
  <c r="Q68" i="1" s="1"/>
  <c r="R68" i="1" s="1"/>
  <c r="S68" i="1" s="1"/>
  <c r="P77" i="1"/>
  <c r="Q77" i="1" s="1"/>
  <c r="R77" i="1" s="1"/>
  <c r="S77" i="1" s="1"/>
  <c r="P10" i="1"/>
  <c r="Q10" i="1" s="1"/>
  <c r="R10" i="1" s="1"/>
  <c r="S10" i="1" s="1"/>
  <c r="P24" i="1"/>
  <c r="Q24" i="1" s="1"/>
  <c r="R24" i="1" s="1"/>
  <c r="S24" i="1" s="1"/>
  <c r="P26" i="1"/>
  <c r="Q26" i="1" s="1"/>
  <c r="R26" i="1" s="1"/>
  <c r="S26" i="1" s="1"/>
  <c r="P53" i="1"/>
  <c r="Q53" i="1" s="1"/>
  <c r="R53" i="1" s="1"/>
  <c r="S53" i="1" s="1"/>
  <c r="P57" i="1"/>
  <c r="Q57" i="1" s="1"/>
  <c r="R57" i="1" s="1"/>
  <c r="S57" i="1" s="1"/>
  <c r="P59" i="1"/>
  <c r="Q59" i="1" s="1"/>
  <c r="R59" i="1" s="1"/>
  <c r="S59" i="1" s="1"/>
  <c r="P63" i="1"/>
  <c r="Q63" i="1" s="1"/>
  <c r="R63" i="1" s="1"/>
  <c r="S63" i="1" s="1"/>
  <c r="P67" i="1"/>
  <c r="Q67" i="1" s="1"/>
  <c r="R67" i="1" s="1"/>
  <c r="S67" i="1" s="1"/>
  <c r="P14" i="1"/>
  <c r="Q14" i="1" s="1"/>
  <c r="R14" i="1" s="1"/>
  <c r="S14" i="1" s="1"/>
  <c r="P20" i="1"/>
  <c r="Q20" i="1" s="1"/>
  <c r="R20" i="1" s="1"/>
  <c r="S20" i="1" s="1"/>
  <c r="P78" i="1"/>
  <c r="Q78" i="1" s="1"/>
  <c r="R78" i="1" s="1"/>
  <c r="S78" i="1" s="1"/>
  <c r="P69" i="1"/>
  <c r="Q69" i="1" s="1"/>
  <c r="R69" i="1" s="1"/>
  <c r="S69" i="1" s="1"/>
  <c r="P70" i="1"/>
  <c r="Q70" i="1" s="1"/>
  <c r="R70" i="1" s="1"/>
  <c r="S70" i="1" s="1"/>
  <c r="P71" i="1"/>
  <c r="Q71" i="1" s="1"/>
  <c r="R71" i="1" s="1"/>
  <c r="S71" i="1" s="1"/>
  <c r="P72" i="1"/>
  <c r="Q72" i="1" s="1"/>
  <c r="R72" i="1" s="1"/>
  <c r="S72" i="1" s="1"/>
  <c r="P73" i="1"/>
  <c r="Q73" i="1" s="1"/>
  <c r="R73" i="1" s="1"/>
  <c r="S73" i="1" s="1"/>
  <c r="P74" i="1"/>
  <c r="Q74" i="1" s="1"/>
  <c r="R74" i="1" s="1"/>
  <c r="S74" i="1" s="1"/>
  <c r="P75" i="1"/>
  <c r="Q75" i="1" s="1"/>
  <c r="R75" i="1" s="1"/>
  <c r="S75" i="1" s="1"/>
  <c r="P30" i="1"/>
  <c r="Q30" i="1" s="1"/>
  <c r="R30" i="1" s="1"/>
  <c r="S30" i="1" s="1"/>
  <c r="P31" i="1"/>
  <c r="Q31" i="1" s="1"/>
  <c r="R31" i="1" s="1"/>
  <c r="S31" i="1" s="1"/>
  <c r="P32" i="1"/>
  <c r="Q32" i="1" s="1"/>
  <c r="R32" i="1" s="1"/>
  <c r="S32" i="1" s="1"/>
  <c r="P29" i="1"/>
  <c r="Q29" i="1" s="1"/>
  <c r="R29" i="1" s="1"/>
  <c r="S29" i="1" s="1"/>
</calcChain>
</file>

<file path=xl/sharedStrings.xml><?xml version="1.0" encoding="utf-8"?>
<sst xmlns="http://schemas.openxmlformats.org/spreadsheetml/2006/main" count="104" uniqueCount="51">
  <si>
    <t>тариф з урахуванням коеф 1,06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</si>
  <si>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</si>
  <si>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єдиний податок 5%</t>
  </si>
  <si>
    <t>Всього</t>
  </si>
  <si>
    <t>в т.ч. АДС</t>
  </si>
  <si>
    <t>номер будин-ку</t>
  </si>
  <si>
    <t>рентабе-льність 5%</t>
  </si>
  <si>
    <t>енерго-постача-ння ліфтів</t>
  </si>
  <si>
    <t>освітле-ння місць загально-го користу-вання і підвалів</t>
  </si>
  <si>
    <t>поточ-ний ремонт констру-ктивних елемен-тів</t>
  </si>
  <si>
    <t>обслуго-вування димовен-тиляцій-них каналів</t>
  </si>
  <si>
    <t>ТО внутрішньобудинко-вих систем: хол.водопостача-ння, водовідведення, теплопостачання, зливової каналізації</t>
  </si>
  <si>
    <t>техніч-не обслу-говува-ння ліфтів</t>
  </si>
  <si>
    <t>обслуго-вування систем диспет-чериза-ції</t>
  </si>
  <si>
    <t>прибира-ння підвалу, тех. поверхів, та покрівлі</t>
  </si>
  <si>
    <t>прибира-ння прибуди-нкової терито-рії</t>
  </si>
  <si>
    <r>
      <t>загаль-на площа будин-ку, м</t>
    </r>
    <r>
      <rPr>
        <vertAlign val="superscript"/>
        <sz val="8"/>
        <rFont val="Times New Roman"/>
        <family val="1"/>
        <charset val="204"/>
      </rPr>
      <t>2</t>
    </r>
  </si>
  <si>
    <t>№ п/п</t>
  </si>
  <si>
    <r>
      <t>тариф, грн/м</t>
    </r>
    <r>
      <rPr>
        <vertAlign val="superscript"/>
        <sz val="8"/>
        <rFont val="Times New Roman"/>
        <family val="1"/>
        <charset val="204"/>
      </rPr>
      <t>2</t>
    </r>
  </si>
  <si>
    <r>
      <t>Назва послуг з утримання будиків і споруд та прибудинкових територій, грн/м</t>
    </r>
    <r>
      <rPr>
        <vertAlign val="superscript"/>
        <sz val="10"/>
        <rFont val="Times New Roman"/>
        <family val="1"/>
        <charset val="204"/>
      </rPr>
      <t>2</t>
    </r>
  </si>
  <si>
    <r>
      <t>всього собівар-тість, грн/м</t>
    </r>
    <r>
      <rPr>
        <vertAlign val="superscript"/>
        <sz val="8"/>
        <rFont val="Times New Roman"/>
        <family val="1"/>
        <charset val="204"/>
      </rPr>
      <t>2</t>
    </r>
  </si>
  <si>
    <t>Адреса жилого будинку</t>
  </si>
  <si>
    <t>13а</t>
  </si>
  <si>
    <t>12а</t>
  </si>
  <si>
    <t>вул.Коржівська</t>
  </si>
  <si>
    <t>вул.Соборна</t>
  </si>
  <si>
    <t>пл.Гнідаша</t>
  </si>
  <si>
    <t>вул.Калнишевського</t>
  </si>
  <si>
    <t>вул. Щербакова</t>
  </si>
  <si>
    <t>вул.Аптекарська</t>
  </si>
  <si>
    <t>вул.Гостиннодвірська</t>
  </si>
  <si>
    <t>вул. Пригородська</t>
  </si>
  <si>
    <t>вул.Римаренків</t>
  </si>
  <si>
    <t>1 пров.Римаренків</t>
  </si>
  <si>
    <t>вул. Монастирська</t>
  </si>
  <si>
    <t>вул.Щербакова</t>
  </si>
  <si>
    <t>вул. Аптекарська</t>
  </si>
  <si>
    <t>вул.Монастирська</t>
  </si>
  <si>
    <t>вул. Калнишевського</t>
  </si>
  <si>
    <t xml:space="preserve">пл. Гнідаша </t>
  </si>
  <si>
    <t>б-р Шевченка</t>
  </si>
  <si>
    <t>б-р Шевченко</t>
  </si>
  <si>
    <t>вул.Гостиннодвірська (1поверх)</t>
  </si>
  <si>
    <t>вул.Гетьмана Мазепи</t>
  </si>
  <si>
    <t>1 пров.Геьтмана Мазепи</t>
  </si>
  <si>
    <t>вул.Петра Калнишевського</t>
  </si>
  <si>
    <t>ТАРИФИ
на послуги з утримання будинків і споруд та прибудинкових територій,  які надає населенню приватне підприємство "Житло-Сервіс"</t>
  </si>
  <si>
    <t>Керуючий справами виконкому                                                                                                                       Л.Г. Сосненко</t>
  </si>
  <si>
    <t>розчищення снігу, посипання частини прибуд.території, призначеної для проходу та проїзду, протиож сумішами</t>
  </si>
  <si>
    <t>Додаток 2
до рішення виконкому міської ради від 08.06.2018 № 66</t>
  </si>
  <si>
    <t>Продовження додатка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</si>
</sst>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4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2">
    <xf numFmtId="0" fontId="0" fillId="0" borderId="0" xfId="0"/>
    <xf numFmtId="0" fontId="3" fillId="0" borderId="2" xfId="0" applyFont="1" applyBorder="1" applyAlignment="1">
      <alignment horizontal="center"/>
    </xf>
    <xf numFmtId="165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 applyProtection="1"/>
    <xf numFmtId="164" fontId="10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164" fontId="8" fillId="0" borderId="0" xfId="0" applyNumberFormat="1" applyFont="1" applyFill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13" fillId="0" borderId="0" xfId="0" applyFont="1" applyBorder="1"/>
    <xf numFmtId="0" fontId="3" fillId="0" borderId="4" xfId="0" applyFont="1" applyBorder="1" applyAlignment="1">
      <alignment horizontal="center"/>
    </xf>
    <xf numFmtId="2" fontId="14" fillId="0" borderId="0" xfId="0" applyNumberFormat="1" applyFont="1"/>
    <xf numFmtId="0" fontId="14" fillId="0" borderId="0" xfId="0" applyFont="1"/>
    <xf numFmtId="2" fontId="0" fillId="0" borderId="0" xfId="0" applyNumberFormat="1"/>
    <xf numFmtId="164" fontId="15" fillId="0" borderId="0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10" fillId="2" borderId="0" xfId="0" applyNumberFormat="1" applyFont="1" applyFill="1" applyBorder="1"/>
    <xf numFmtId="164" fontId="15" fillId="2" borderId="0" xfId="0" applyNumberFormat="1" applyFont="1" applyFill="1" applyBorder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0" fillId="3" borderId="1" xfId="0" applyFill="1" applyBorder="1"/>
    <xf numFmtId="2" fontId="12" fillId="0" borderId="0" xfId="0" applyNumberFormat="1" applyFont="1" applyBorder="1"/>
    <xf numFmtId="0" fontId="12" fillId="0" borderId="0" xfId="0" applyFont="1" applyBorder="1"/>
    <xf numFmtId="2" fontId="17" fillId="0" borderId="0" xfId="0" applyNumberFormat="1" applyFont="1" applyBorder="1"/>
    <xf numFmtId="0" fontId="17" fillId="0" borderId="0" xfId="0" applyFont="1" applyBorder="1"/>
    <xf numFmtId="0" fontId="0" fillId="0" borderId="0" xfId="0" applyFill="1" applyBorder="1"/>
    <xf numFmtId="0" fontId="17" fillId="0" borderId="0" xfId="0" applyFont="1" applyFill="1" applyBorder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2" fontId="17" fillId="0" borderId="0" xfId="0" applyNumberFormat="1" applyFont="1" applyFill="1"/>
    <xf numFmtId="0" fontId="17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shrinkToFit="1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</cellXfs>
  <cellStyles count="12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2"/>
  <sheetViews>
    <sheetView tabSelected="1" workbookViewId="0">
      <selection activeCell="B2" sqref="B2:S3"/>
    </sheetView>
  </sheetViews>
  <sheetFormatPr defaultRowHeight="12.75" x14ac:dyDescent="0.2"/>
  <cols>
    <col min="1" max="1" width="5" customWidth="1"/>
    <col min="2" max="2" width="25.5703125" customWidth="1"/>
    <col min="3" max="3" width="6.85546875" customWidth="1"/>
    <col min="4" max="4" width="7.7109375" customWidth="1"/>
    <col min="5" max="9" width="6.85546875" customWidth="1"/>
    <col min="10" max="10" width="7" customWidth="1"/>
    <col min="11" max="12" width="6.85546875" customWidth="1"/>
    <col min="13" max="13" width="7.42578125" customWidth="1"/>
    <col min="14" max="14" width="6.85546875" style="31" customWidth="1"/>
    <col min="15" max="15" width="6.85546875" customWidth="1"/>
    <col min="16" max="16" width="5.85546875" customWidth="1"/>
    <col min="17" max="18" width="6.85546875" customWidth="1"/>
    <col min="19" max="19" width="6.42578125" customWidth="1"/>
    <col min="20" max="20" width="0.42578125" hidden="1" customWidth="1"/>
    <col min="21" max="21" width="14.42578125" customWidth="1"/>
  </cols>
  <sheetData>
    <row r="1" spans="1:28" ht="50.25" customHeight="1" x14ac:dyDescent="0.2">
      <c r="N1" s="58" t="s">
        <v>49</v>
      </c>
      <c r="O1" s="58"/>
      <c r="P1" s="58"/>
      <c r="Q1" s="58"/>
      <c r="R1" s="58"/>
      <c r="S1" s="58"/>
    </row>
    <row r="2" spans="1:28" ht="0.75" hidden="1" customHeight="1" x14ac:dyDescent="0.2">
      <c r="A2" s="41"/>
      <c r="B2" s="60" t="s">
        <v>46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8" ht="27.75" customHeight="1" x14ac:dyDescent="0.2">
      <c r="A3" s="41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8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32"/>
      <c r="O4" s="14"/>
      <c r="P4" s="14"/>
      <c r="Q4" s="14"/>
      <c r="R4" s="14"/>
      <c r="S4" s="14"/>
    </row>
    <row r="5" spans="1:28" ht="12.75" customHeight="1" x14ac:dyDescent="0.2">
      <c r="A5" s="59" t="s">
        <v>17</v>
      </c>
      <c r="B5" s="59" t="s">
        <v>21</v>
      </c>
      <c r="C5" s="59" t="s">
        <v>5</v>
      </c>
      <c r="D5" s="59" t="s">
        <v>16</v>
      </c>
      <c r="E5" s="66" t="s">
        <v>19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59" t="s">
        <v>20</v>
      </c>
      <c r="Q5" s="59" t="s">
        <v>6</v>
      </c>
      <c r="R5" s="59" t="s">
        <v>2</v>
      </c>
      <c r="S5" s="59" t="s">
        <v>18</v>
      </c>
      <c r="T5" s="62" t="s">
        <v>0</v>
      </c>
    </row>
    <row r="6" spans="1:28" x14ac:dyDescent="0.2">
      <c r="A6" s="59"/>
      <c r="B6" s="59"/>
      <c r="C6" s="59"/>
      <c r="D6" s="59"/>
      <c r="E6" s="59" t="s">
        <v>15</v>
      </c>
      <c r="F6" s="59" t="s">
        <v>14</v>
      </c>
      <c r="G6" s="59" t="s">
        <v>12</v>
      </c>
      <c r="H6" s="59" t="s">
        <v>13</v>
      </c>
      <c r="I6" s="59" t="s">
        <v>11</v>
      </c>
      <c r="J6" s="59"/>
      <c r="K6" s="59" t="s">
        <v>10</v>
      </c>
      <c r="L6" s="59" t="s">
        <v>9</v>
      </c>
      <c r="M6" s="59" t="s">
        <v>48</v>
      </c>
      <c r="N6" s="61" t="s">
        <v>8</v>
      </c>
      <c r="O6" s="59" t="s">
        <v>7</v>
      </c>
      <c r="P6" s="59"/>
      <c r="Q6" s="59"/>
      <c r="R6" s="59"/>
      <c r="S6" s="59"/>
      <c r="T6" s="63"/>
    </row>
    <row r="7" spans="1:28" ht="96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61"/>
      <c r="O7" s="59"/>
      <c r="P7" s="59"/>
      <c r="Q7" s="59"/>
      <c r="R7" s="59"/>
      <c r="S7" s="59"/>
      <c r="T7" s="63"/>
    </row>
    <row r="8" spans="1:28" ht="42" customHeight="1" x14ac:dyDescent="0.2">
      <c r="A8" s="59"/>
      <c r="B8" s="59"/>
      <c r="C8" s="59"/>
      <c r="D8" s="59"/>
      <c r="E8" s="59"/>
      <c r="F8" s="59"/>
      <c r="G8" s="59"/>
      <c r="H8" s="59"/>
      <c r="I8" s="42" t="s">
        <v>3</v>
      </c>
      <c r="J8" s="42" t="s">
        <v>4</v>
      </c>
      <c r="K8" s="59"/>
      <c r="L8" s="59"/>
      <c r="M8" s="59"/>
      <c r="N8" s="61"/>
      <c r="O8" s="59"/>
      <c r="P8" s="59"/>
      <c r="Q8" s="59"/>
      <c r="R8" s="59"/>
      <c r="S8" s="59"/>
      <c r="T8" s="64"/>
      <c r="Y8" s="39"/>
      <c r="Z8" s="39"/>
      <c r="AA8" s="39"/>
      <c r="AB8" s="39"/>
    </row>
    <row r="9" spans="1:28" x14ac:dyDescent="0.2">
      <c r="A9" s="15">
        <v>1</v>
      </c>
      <c r="B9" s="15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28">
        <v>14</v>
      </c>
      <c r="O9" s="18">
        <v>15</v>
      </c>
      <c r="P9" s="15">
        <v>16</v>
      </c>
      <c r="Q9" s="15">
        <v>17</v>
      </c>
      <c r="R9" s="15">
        <v>18</v>
      </c>
      <c r="S9" s="15">
        <v>19</v>
      </c>
      <c r="T9" s="34"/>
    </row>
    <row r="10" spans="1:28" s="48" customFormat="1" ht="12" customHeight="1" x14ac:dyDescent="0.2">
      <c r="A10" s="5">
        <v>1</v>
      </c>
      <c r="B10" s="6" t="s">
        <v>28</v>
      </c>
      <c r="C10" s="5">
        <v>1</v>
      </c>
      <c r="D10" s="5">
        <v>279.8</v>
      </c>
      <c r="E10" s="5">
        <f t="shared" ref="E10:E29" si="0">0.3105*1.06</f>
        <v>0.32913000000000003</v>
      </c>
      <c r="F10" s="43">
        <f t="shared" ref="F10:F24" si="1">0.075*1.06</f>
        <v>7.9500000000000001E-2</v>
      </c>
      <c r="G10" s="43">
        <v>0</v>
      </c>
      <c r="H10" s="43">
        <v>0</v>
      </c>
      <c r="I10" s="43">
        <f t="shared" ref="I10:I20" si="2">0.8361*1.06</f>
        <v>0.886266</v>
      </c>
      <c r="J10" s="43">
        <f>0.2151*1.06</f>
        <v>0.22800600000000001</v>
      </c>
      <c r="K10" s="56">
        <f>0.079*1.06</f>
        <v>8.3740000000000009E-2</v>
      </c>
      <c r="L10" s="5">
        <f>0.75*1.06</f>
        <v>0.79500000000000004</v>
      </c>
      <c r="M10" s="27">
        <f>0.1515*1.06</f>
        <v>0.16059000000000001</v>
      </c>
      <c r="N10" s="43">
        <v>0.56759999999999999</v>
      </c>
      <c r="O10" s="44">
        <v>0</v>
      </c>
      <c r="P10" s="53">
        <f>E10+F10+G10+H10+I10+K10+L10+M10+N10+O10</f>
        <v>2.9018260000000002</v>
      </c>
      <c r="Q10" s="54">
        <f>P10*5%</f>
        <v>0.14509130000000001</v>
      </c>
      <c r="R10" s="54">
        <f t="shared" ref="R10:R16" si="3">(Q10+P10)*5%</f>
        <v>0.15234586500000002</v>
      </c>
      <c r="S10" s="45">
        <f t="shared" ref="S10:S16" si="4">R10+Q10+P10</f>
        <v>3.1992631650000005</v>
      </c>
      <c r="T10" s="46">
        <v>3.07</v>
      </c>
      <c r="U10" s="47"/>
    </row>
    <row r="11" spans="1:28" s="48" customFormat="1" x14ac:dyDescent="0.2">
      <c r="A11" s="5">
        <v>2</v>
      </c>
      <c r="B11" s="6" t="s">
        <v>28</v>
      </c>
      <c r="C11" s="5">
        <v>3</v>
      </c>
      <c r="D11" s="5">
        <v>547.20000000000005</v>
      </c>
      <c r="E11" s="5">
        <f t="shared" si="0"/>
        <v>0.32913000000000003</v>
      </c>
      <c r="F11" s="43">
        <f t="shared" si="1"/>
        <v>7.9500000000000001E-2</v>
      </c>
      <c r="G11" s="43">
        <v>0</v>
      </c>
      <c r="H11" s="43">
        <v>0</v>
      </c>
      <c r="I11" s="5">
        <f t="shared" si="2"/>
        <v>0.886266</v>
      </c>
      <c r="J11" s="5">
        <v>0.21510000000000001</v>
      </c>
      <c r="K11" s="56">
        <f>0.079*1.06</f>
        <v>8.3740000000000009E-2</v>
      </c>
      <c r="L11" s="5">
        <f>1.06*0.616</f>
        <v>0.65295999999999998</v>
      </c>
      <c r="M11" s="27">
        <f t="shared" ref="M11:M29" si="5">1.06*0.1515</f>
        <v>0.16059000000000001</v>
      </c>
      <c r="N11" s="43">
        <v>0.58099999999999996</v>
      </c>
      <c r="O11" s="44">
        <v>0</v>
      </c>
      <c r="P11" s="53">
        <f t="shared" ref="P11:P28" si="6">E11+F11+G11+H11+I11+K11+L11+M11+N11+O11</f>
        <v>2.7731859999999999</v>
      </c>
      <c r="Q11" s="54">
        <f t="shared" ref="Q11:Q28" si="7">P11*5%</f>
        <v>0.13865930000000001</v>
      </c>
      <c r="R11" s="54">
        <f t="shared" si="3"/>
        <v>0.145592265</v>
      </c>
      <c r="S11" s="45">
        <f t="shared" si="4"/>
        <v>3.0574375649999999</v>
      </c>
      <c r="T11" s="46">
        <v>2.93</v>
      </c>
      <c r="U11" s="47"/>
    </row>
    <row r="12" spans="1:28" s="48" customFormat="1" x14ac:dyDescent="0.2">
      <c r="A12" s="5">
        <v>3</v>
      </c>
      <c r="B12" s="6" t="s">
        <v>28</v>
      </c>
      <c r="C12" s="5">
        <v>5</v>
      </c>
      <c r="D12" s="5">
        <v>552.5</v>
      </c>
      <c r="E12" s="5">
        <f t="shared" si="0"/>
        <v>0.32913000000000003</v>
      </c>
      <c r="F12" s="43">
        <f t="shared" si="1"/>
        <v>7.9500000000000001E-2</v>
      </c>
      <c r="G12" s="43">
        <v>0</v>
      </c>
      <c r="H12" s="43">
        <v>0</v>
      </c>
      <c r="I12" s="5">
        <f t="shared" si="2"/>
        <v>0.886266</v>
      </c>
      <c r="J12" s="5">
        <v>0.21510000000000001</v>
      </c>
      <c r="K12" s="56">
        <f>1.06*0.079</f>
        <v>8.3740000000000009E-2</v>
      </c>
      <c r="L12" s="5">
        <f>1.06*0.616</f>
        <v>0.65295999999999998</v>
      </c>
      <c r="M12" s="27">
        <f t="shared" si="5"/>
        <v>0.16059000000000001</v>
      </c>
      <c r="N12" s="43">
        <v>0.58099999999999996</v>
      </c>
      <c r="O12" s="44">
        <v>0</v>
      </c>
      <c r="P12" s="53">
        <f t="shared" si="6"/>
        <v>2.7731859999999999</v>
      </c>
      <c r="Q12" s="54">
        <f t="shared" si="7"/>
        <v>0.13865930000000001</v>
      </c>
      <c r="R12" s="54">
        <f t="shared" si="3"/>
        <v>0.145592265</v>
      </c>
      <c r="S12" s="45">
        <f t="shared" si="4"/>
        <v>3.0574375649999999</v>
      </c>
      <c r="T12" s="46">
        <v>2.93</v>
      </c>
      <c r="U12" s="47"/>
    </row>
    <row r="13" spans="1:28" s="48" customFormat="1" x14ac:dyDescent="0.2">
      <c r="A13" s="5">
        <v>4</v>
      </c>
      <c r="B13" s="6" t="s">
        <v>28</v>
      </c>
      <c r="C13" s="5">
        <v>7</v>
      </c>
      <c r="D13" s="5">
        <v>1460.9</v>
      </c>
      <c r="E13" s="5">
        <f t="shared" si="0"/>
        <v>0.32913000000000003</v>
      </c>
      <c r="F13" s="43">
        <f t="shared" si="1"/>
        <v>7.9500000000000001E-2</v>
      </c>
      <c r="G13" s="43">
        <v>0</v>
      </c>
      <c r="H13" s="43">
        <v>0</v>
      </c>
      <c r="I13" s="5">
        <f t="shared" si="2"/>
        <v>0.886266</v>
      </c>
      <c r="J13" s="5">
        <v>0.21510000000000001</v>
      </c>
      <c r="K13" s="56">
        <f>1.06*0.079</f>
        <v>8.3740000000000009E-2</v>
      </c>
      <c r="L13" s="5">
        <f>1.06*0.539</f>
        <v>0.57134000000000007</v>
      </c>
      <c r="M13" s="27">
        <f t="shared" si="5"/>
        <v>0.16059000000000001</v>
      </c>
      <c r="N13" s="43">
        <v>0.60950000000000004</v>
      </c>
      <c r="O13" s="44">
        <v>0</v>
      </c>
      <c r="P13" s="53">
        <f t="shared" si="6"/>
        <v>2.7200660000000001</v>
      </c>
      <c r="Q13" s="54">
        <f t="shared" si="7"/>
        <v>0.13600330000000002</v>
      </c>
      <c r="R13" s="54">
        <f t="shared" si="3"/>
        <v>0.14280346500000002</v>
      </c>
      <c r="S13" s="45">
        <f t="shared" si="4"/>
        <v>2.9988727650000002</v>
      </c>
      <c r="T13" s="46">
        <v>2.86</v>
      </c>
      <c r="U13" s="47"/>
    </row>
    <row r="14" spans="1:28" s="48" customFormat="1" x14ac:dyDescent="0.2">
      <c r="A14" s="5">
        <v>5</v>
      </c>
      <c r="B14" s="6" t="s">
        <v>28</v>
      </c>
      <c r="C14" s="5">
        <v>10</v>
      </c>
      <c r="D14" s="5">
        <v>2279.5</v>
      </c>
      <c r="E14" s="5">
        <f t="shared" si="0"/>
        <v>0.32913000000000003</v>
      </c>
      <c r="F14" s="43">
        <f t="shared" si="1"/>
        <v>7.9500000000000001E-2</v>
      </c>
      <c r="G14" s="43">
        <v>0</v>
      </c>
      <c r="H14" s="43">
        <v>0</v>
      </c>
      <c r="I14" s="5">
        <f t="shared" si="2"/>
        <v>0.886266</v>
      </c>
      <c r="J14" s="5">
        <v>0.21510000000000001</v>
      </c>
      <c r="K14" s="56">
        <f>1.06*0.0398</f>
        <v>4.2188000000000003E-2</v>
      </c>
      <c r="L14" s="5">
        <f>1.06*0.435</f>
        <v>0.46110000000000001</v>
      </c>
      <c r="M14" s="27">
        <f t="shared" si="5"/>
        <v>0.16059000000000001</v>
      </c>
      <c r="N14" s="43">
        <v>0.74260000000000004</v>
      </c>
      <c r="O14" s="44">
        <v>0</v>
      </c>
      <c r="P14" s="53">
        <f t="shared" si="6"/>
        <v>2.7013739999999999</v>
      </c>
      <c r="Q14" s="54">
        <f t="shared" si="7"/>
        <v>0.13506870000000001</v>
      </c>
      <c r="R14" s="54">
        <f t="shared" si="3"/>
        <v>0.14182213500000002</v>
      </c>
      <c r="S14" s="45">
        <f t="shared" si="4"/>
        <v>2.9782648350000001</v>
      </c>
      <c r="T14" s="46">
        <v>2.81</v>
      </c>
      <c r="U14" s="47"/>
    </row>
    <row r="15" spans="1:28" s="48" customFormat="1" x14ac:dyDescent="0.2">
      <c r="A15" s="5">
        <v>6</v>
      </c>
      <c r="B15" s="6" t="s">
        <v>24</v>
      </c>
      <c r="C15" s="5">
        <v>84</v>
      </c>
      <c r="D15" s="5">
        <v>706.8</v>
      </c>
      <c r="E15" s="5">
        <f t="shared" si="0"/>
        <v>0.32913000000000003</v>
      </c>
      <c r="F15" s="43">
        <f t="shared" si="1"/>
        <v>7.9500000000000001E-2</v>
      </c>
      <c r="G15" s="43">
        <v>0</v>
      </c>
      <c r="H15" s="43">
        <v>0</v>
      </c>
      <c r="I15" s="5">
        <f t="shared" si="2"/>
        <v>0.886266</v>
      </c>
      <c r="J15" s="5">
        <v>0.21510000000000001</v>
      </c>
      <c r="K15" s="56">
        <f>1.06*0.0422</f>
        <v>4.4732000000000001E-2</v>
      </c>
      <c r="L15" s="5">
        <f>1.06*0.673</f>
        <v>0.71338000000000013</v>
      </c>
      <c r="M15" s="27">
        <f t="shared" si="5"/>
        <v>0.16059000000000001</v>
      </c>
      <c r="N15" s="43">
        <v>0.30719999999999997</v>
      </c>
      <c r="O15" s="44">
        <v>0</v>
      </c>
      <c r="P15" s="53">
        <f t="shared" si="6"/>
        <v>2.5207980000000001</v>
      </c>
      <c r="Q15" s="54">
        <f t="shared" si="7"/>
        <v>0.12603990000000001</v>
      </c>
      <c r="R15" s="54">
        <f t="shared" si="3"/>
        <v>0.13234189500000001</v>
      </c>
      <c r="S15" s="45">
        <f t="shared" si="4"/>
        <v>2.7791797950000001</v>
      </c>
      <c r="T15" s="46">
        <v>2.71</v>
      </c>
      <c r="U15" s="47"/>
    </row>
    <row r="16" spans="1:28" s="48" customFormat="1" x14ac:dyDescent="0.2">
      <c r="A16" s="5">
        <v>7</v>
      </c>
      <c r="B16" s="6" t="s">
        <v>24</v>
      </c>
      <c r="C16" s="5">
        <v>86</v>
      </c>
      <c r="D16" s="5">
        <v>718.4</v>
      </c>
      <c r="E16" s="5">
        <f t="shared" si="0"/>
        <v>0.32913000000000003</v>
      </c>
      <c r="F16" s="43">
        <f t="shared" si="1"/>
        <v>7.9500000000000001E-2</v>
      </c>
      <c r="G16" s="43">
        <v>0</v>
      </c>
      <c r="H16" s="43">
        <v>0</v>
      </c>
      <c r="I16" s="5">
        <f t="shared" si="2"/>
        <v>0.886266</v>
      </c>
      <c r="J16" s="5">
        <v>0.21510000000000001</v>
      </c>
      <c r="K16" s="56">
        <f>1.06*0.0422</f>
        <v>4.4732000000000001E-2</v>
      </c>
      <c r="L16" s="5">
        <f>1.06*0.71</f>
        <v>0.75260000000000005</v>
      </c>
      <c r="M16" s="27">
        <f t="shared" si="5"/>
        <v>0.16059000000000001</v>
      </c>
      <c r="N16" s="43">
        <v>0.31659999999999999</v>
      </c>
      <c r="O16" s="44">
        <v>0</v>
      </c>
      <c r="P16" s="53">
        <f>E16+F16+G16+H16+I16+K16+L16+M16+N16+O16</f>
        <v>2.5694179999999998</v>
      </c>
      <c r="Q16" s="54">
        <f>P16*5%</f>
        <v>0.1284709</v>
      </c>
      <c r="R16" s="54">
        <f t="shared" si="3"/>
        <v>0.134894445</v>
      </c>
      <c r="S16" s="45">
        <f t="shared" si="4"/>
        <v>2.8327833449999997</v>
      </c>
      <c r="T16" s="46">
        <v>2.76</v>
      </c>
      <c r="U16" s="47"/>
    </row>
    <row r="17" spans="1:28" s="48" customFormat="1" x14ac:dyDescent="0.2">
      <c r="A17" s="5">
        <v>8</v>
      </c>
      <c r="B17" s="6" t="s">
        <v>24</v>
      </c>
      <c r="C17" s="5">
        <v>88</v>
      </c>
      <c r="D17" s="5">
        <v>1539</v>
      </c>
      <c r="E17" s="5">
        <f t="shared" si="0"/>
        <v>0.32913000000000003</v>
      </c>
      <c r="F17" s="43">
        <f t="shared" si="1"/>
        <v>7.9500000000000001E-2</v>
      </c>
      <c r="G17" s="43">
        <v>0</v>
      </c>
      <c r="H17" s="43">
        <v>0</v>
      </c>
      <c r="I17" s="5">
        <f t="shared" si="2"/>
        <v>0.886266</v>
      </c>
      <c r="J17" s="5">
        <v>0.21510000000000001</v>
      </c>
      <c r="K17" s="56">
        <f>1.06*0.0422</f>
        <v>4.4732000000000001E-2</v>
      </c>
      <c r="L17" s="5">
        <f>1.06*0.6687</f>
        <v>0.70882199999999995</v>
      </c>
      <c r="M17" s="27">
        <f t="shared" si="5"/>
        <v>0.16059000000000001</v>
      </c>
      <c r="N17" s="43">
        <v>0.69979999999999998</v>
      </c>
      <c r="O17" s="44">
        <v>0</v>
      </c>
      <c r="P17" s="53">
        <f t="shared" si="6"/>
        <v>2.9088399999999996</v>
      </c>
      <c r="Q17" s="54">
        <f t="shared" si="7"/>
        <v>0.14544199999999999</v>
      </c>
      <c r="R17" s="54">
        <f t="shared" ref="R17:R26" si="8">(Q17+P17)*5%</f>
        <v>0.15271409999999999</v>
      </c>
      <c r="S17" s="45">
        <f t="shared" ref="S17:S26" si="9">R17+Q17+P17</f>
        <v>3.2069960999999996</v>
      </c>
      <c r="T17" s="46">
        <v>3.05</v>
      </c>
      <c r="U17" s="47"/>
    </row>
    <row r="18" spans="1:28" s="48" customFormat="1" x14ac:dyDescent="0.2">
      <c r="A18" s="5">
        <v>9</v>
      </c>
      <c r="B18" s="6" t="s">
        <v>24</v>
      </c>
      <c r="C18" s="5">
        <v>96</v>
      </c>
      <c r="D18" s="5">
        <v>383.5</v>
      </c>
      <c r="E18" s="5">
        <f t="shared" si="0"/>
        <v>0.32913000000000003</v>
      </c>
      <c r="F18" s="43">
        <f t="shared" si="1"/>
        <v>7.9500000000000001E-2</v>
      </c>
      <c r="G18" s="43">
        <v>0</v>
      </c>
      <c r="H18" s="43">
        <v>0</v>
      </c>
      <c r="I18" s="5">
        <f t="shared" si="2"/>
        <v>0.886266</v>
      </c>
      <c r="J18" s="5">
        <v>0.21510000000000001</v>
      </c>
      <c r="K18" s="56">
        <f>1.06*0.0422</f>
        <v>4.4732000000000001E-2</v>
      </c>
      <c r="L18" s="5">
        <f>1.06*0.625</f>
        <v>0.66250000000000009</v>
      </c>
      <c r="M18" s="27">
        <f t="shared" si="5"/>
        <v>0.16059000000000001</v>
      </c>
      <c r="N18" s="43">
        <v>0.40100000000000002</v>
      </c>
      <c r="O18" s="44">
        <v>0</v>
      </c>
      <c r="P18" s="53">
        <f t="shared" si="6"/>
        <v>2.5637179999999997</v>
      </c>
      <c r="Q18" s="54">
        <f t="shared" si="7"/>
        <v>0.12818589999999999</v>
      </c>
      <c r="R18" s="54">
        <f t="shared" si="8"/>
        <v>0.134595195</v>
      </c>
      <c r="S18" s="45">
        <f t="shared" si="9"/>
        <v>2.826499095</v>
      </c>
      <c r="T18" s="46">
        <v>2.73</v>
      </c>
      <c r="U18" s="47"/>
    </row>
    <row r="19" spans="1:28" s="48" customFormat="1" x14ac:dyDescent="0.2">
      <c r="A19" s="5">
        <v>10</v>
      </c>
      <c r="B19" s="6" t="s">
        <v>24</v>
      </c>
      <c r="C19" s="5">
        <v>100</v>
      </c>
      <c r="D19" s="5">
        <v>1545.3</v>
      </c>
      <c r="E19" s="5">
        <f t="shared" si="0"/>
        <v>0.32913000000000003</v>
      </c>
      <c r="F19" s="43">
        <f t="shared" si="1"/>
        <v>7.9500000000000001E-2</v>
      </c>
      <c r="G19" s="43">
        <v>0</v>
      </c>
      <c r="H19" s="43">
        <v>0</v>
      </c>
      <c r="I19" s="5">
        <f t="shared" si="2"/>
        <v>0.886266</v>
      </c>
      <c r="J19" s="5">
        <v>0.21510000000000001</v>
      </c>
      <c r="K19" s="56">
        <f>1.06*0.0422</f>
        <v>4.4732000000000001E-2</v>
      </c>
      <c r="L19" s="5">
        <f>1.06*0.565</f>
        <v>0.59889999999999999</v>
      </c>
      <c r="M19" s="27">
        <f t="shared" si="5"/>
        <v>0.16059000000000001</v>
      </c>
      <c r="N19" s="43">
        <v>0.4073</v>
      </c>
      <c r="O19" s="44">
        <v>0</v>
      </c>
      <c r="P19" s="53">
        <f t="shared" si="6"/>
        <v>2.506418</v>
      </c>
      <c r="Q19" s="54">
        <f t="shared" si="7"/>
        <v>0.12532090000000001</v>
      </c>
      <c r="R19" s="54">
        <f t="shared" si="8"/>
        <v>0.13158694500000001</v>
      </c>
      <c r="S19" s="45">
        <f t="shared" si="9"/>
        <v>2.7633258450000002</v>
      </c>
      <c r="T19" s="46">
        <v>2.67</v>
      </c>
      <c r="U19" s="47"/>
    </row>
    <row r="20" spans="1:28" s="48" customFormat="1" x14ac:dyDescent="0.2">
      <c r="A20" s="5">
        <v>11</v>
      </c>
      <c r="B20" s="6" t="s">
        <v>25</v>
      </c>
      <c r="C20" s="5">
        <v>4</v>
      </c>
      <c r="D20" s="5">
        <v>444</v>
      </c>
      <c r="E20" s="5">
        <f t="shared" si="0"/>
        <v>0.32913000000000003</v>
      </c>
      <c r="F20" s="43">
        <f t="shared" si="1"/>
        <v>7.9500000000000001E-2</v>
      </c>
      <c r="G20" s="43">
        <v>0</v>
      </c>
      <c r="H20" s="43">
        <v>0</v>
      </c>
      <c r="I20" s="5">
        <f t="shared" si="2"/>
        <v>0.886266</v>
      </c>
      <c r="J20" s="5">
        <v>0.21510000000000001</v>
      </c>
      <c r="K20" s="56">
        <f>1.06*0.0398</f>
        <v>4.2188000000000003E-2</v>
      </c>
      <c r="L20" s="5">
        <f>1.06*0.5937</f>
        <v>0.62932200000000005</v>
      </c>
      <c r="M20" s="27">
        <f t="shared" si="5"/>
        <v>0.16059000000000001</v>
      </c>
      <c r="N20" s="43">
        <v>0.46079999999999999</v>
      </c>
      <c r="O20" s="44">
        <v>0</v>
      </c>
      <c r="P20" s="53">
        <f t="shared" si="6"/>
        <v>2.587796</v>
      </c>
      <c r="Q20" s="54">
        <f t="shared" si="7"/>
        <v>0.1293898</v>
      </c>
      <c r="R20" s="54">
        <f t="shared" si="8"/>
        <v>0.13585929000000002</v>
      </c>
      <c r="S20" s="45">
        <f>R20+Q20+P20</f>
        <v>2.8530450900000002</v>
      </c>
      <c r="T20" s="46">
        <v>2.75</v>
      </c>
      <c r="U20" s="47"/>
    </row>
    <row r="21" spans="1:28" s="48" customFormat="1" x14ac:dyDescent="0.2">
      <c r="A21" s="5">
        <v>12</v>
      </c>
      <c r="B21" s="6" t="s">
        <v>25</v>
      </c>
      <c r="C21" s="5">
        <v>8</v>
      </c>
      <c r="D21" s="5">
        <v>1484.5</v>
      </c>
      <c r="E21" s="5">
        <f t="shared" si="0"/>
        <v>0.32913000000000003</v>
      </c>
      <c r="F21" s="43">
        <f t="shared" si="1"/>
        <v>7.9500000000000001E-2</v>
      </c>
      <c r="G21" s="43">
        <v>0</v>
      </c>
      <c r="H21" s="43">
        <v>0</v>
      </c>
      <c r="I21" s="5">
        <f t="shared" ref="I21:I32" si="10">1.06*0.8361</f>
        <v>0.886266</v>
      </c>
      <c r="J21" s="5">
        <v>0.21510000000000001</v>
      </c>
      <c r="K21" s="56">
        <f>1.06*0.0798</f>
        <v>8.4587999999999997E-2</v>
      </c>
      <c r="L21" s="5">
        <f>1.06*0.606</f>
        <v>0.64236000000000004</v>
      </c>
      <c r="M21" s="27">
        <f t="shared" si="5"/>
        <v>0.16059000000000001</v>
      </c>
      <c r="N21" s="43">
        <v>0.45669999999999999</v>
      </c>
      <c r="O21" s="44">
        <v>0</v>
      </c>
      <c r="P21" s="53">
        <f t="shared" si="6"/>
        <v>2.6391340000000003</v>
      </c>
      <c r="Q21" s="54">
        <f t="shared" si="7"/>
        <v>0.13195670000000001</v>
      </c>
      <c r="R21" s="54">
        <f t="shared" si="8"/>
        <v>0.13855453500000001</v>
      </c>
      <c r="S21" s="45">
        <f t="shared" si="9"/>
        <v>2.9096452350000002</v>
      </c>
      <c r="T21" s="46">
        <v>2.81</v>
      </c>
      <c r="U21" s="47"/>
    </row>
    <row r="22" spans="1:28" s="48" customFormat="1" x14ac:dyDescent="0.2">
      <c r="A22" s="5">
        <v>13</v>
      </c>
      <c r="B22" s="6" t="s">
        <v>25</v>
      </c>
      <c r="C22" s="5">
        <v>9</v>
      </c>
      <c r="D22" s="5">
        <v>2549.6999999999998</v>
      </c>
      <c r="E22" s="5">
        <f t="shared" si="0"/>
        <v>0.32913000000000003</v>
      </c>
      <c r="F22" s="43">
        <f t="shared" si="1"/>
        <v>7.9500000000000001E-2</v>
      </c>
      <c r="G22" s="43">
        <v>0</v>
      </c>
      <c r="H22" s="43">
        <v>0</v>
      </c>
      <c r="I22" s="5">
        <f t="shared" si="10"/>
        <v>0.886266</v>
      </c>
      <c r="J22" s="5">
        <v>0.21510000000000001</v>
      </c>
      <c r="K22" s="56">
        <f>1.06*0.0422</f>
        <v>4.4732000000000001E-2</v>
      </c>
      <c r="L22" s="5">
        <f>1.06*0.693</f>
        <v>0.73458000000000001</v>
      </c>
      <c r="M22" s="27">
        <f t="shared" si="5"/>
        <v>0.16059000000000001</v>
      </c>
      <c r="N22" s="43">
        <v>0.56310000000000004</v>
      </c>
      <c r="O22" s="44">
        <v>0</v>
      </c>
      <c r="P22" s="53">
        <f t="shared" si="6"/>
        <v>2.797898</v>
      </c>
      <c r="Q22" s="54">
        <f t="shared" si="7"/>
        <v>0.13989490000000002</v>
      </c>
      <c r="R22" s="54">
        <f t="shared" si="8"/>
        <v>0.14688964499999999</v>
      </c>
      <c r="S22" s="45">
        <f t="shared" si="9"/>
        <v>3.0846825450000002</v>
      </c>
      <c r="T22" s="46">
        <v>2.96</v>
      </c>
      <c r="U22" s="47"/>
    </row>
    <row r="23" spans="1:28" s="48" customFormat="1" x14ac:dyDescent="0.2">
      <c r="A23" s="5">
        <v>14</v>
      </c>
      <c r="B23" s="6" t="s">
        <v>25</v>
      </c>
      <c r="C23" s="5" t="s">
        <v>22</v>
      </c>
      <c r="D23" s="5">
        <v>3180.8</v>
      </c>
      <c r="E23" s="5">
        <f t="shared" si="0"/>
        <v>0.32913000000000003</v>
      </c>
      <c r="F23" s="43">
        <f t="shared" si="1"/>
        <v>7.9500000000000001E-2</v>
      </c>
      <c r="G23" s="43">
        <v>0</v>
      </c>
      <c r="H23" s="43">
        <v>0</v>
      </c>
      <c r="I23" s="5">
        <f t="shared" si="10"/>
        <v>0.886266</v>
      </c>
      <c r="J23" s="5">
        <v>0.21510000000000001</v>
      </c>
      <c r="K23" s="56">
        <f>1.06*0.0422</f>
        <v>4.4732000000000001E-2</v>
      </c>
      <c r="L23" s="5">
        <f>1.06*0.7385</f>
        <v>0.78281000000000012</v>
      </c>
      <c r="M23" s="27">
        <f t="shared" si="5"/>
        <v>0.16059000000000001</v>
      </c>
      <c r="N23" s="43">
        <v>0.47689999999999999</v>
      </c>
      <c r="O23" s="44">
        <v>0</v>
      </c>
      <c r="P23" s="53">
        <f t="shared" si="6"/>
        <v>2.7599280000000004</v>
      </c>
      <c r="Q23" s="54">
        <f t="shared" si="7"/>
        <v>0.13799640000000002</v>
      </c>
      <c r="R23" s="54">
        <f t="shared" si="8"/>
        <v>0.14489622000000002</v>
      </c>
      <c r="S23" s="45">
        <f t="shared" si="9"/>
        <v>3.0428206200000005</v>
      </c>
      <c r="T23" s="46">
        <v>2.94</v>
      </c>
      <c r="U23" s="47"/>
      <c r="AB23" s="49"/>
    </row>
    <row r="24" spans="1:28" s="48" customFormat="1" x14ac:dyDescent="0.2">
      <c r="A24" s="5">
        <v>15</v>
      </c>
      <c r="B24" s="6" t="s">
        <v>29</v>
      </c>
      <c r="C24" s="5">
        <v>1</v>
      </c>
      <c r="D24" s="5">
        <v>2607.3000000000002</v>
      </c>
      <c r="E24" s="5">
        <f t="shared" si="0"/>
        <v>0.32913000000000003</v>
      </c>
      <c r="F24" s="43">
        <f t="shared" si="1"/>
        <v>7.9500000000000001E-2</v>
      </c>
      <c r="G24" s="43">
        <v>0</v>
      </c>
      <c r="H24" s="43">
        <v>0</v>
      </c>
      <c r="I24" s="5">
        <f t="shared" si="10"/>
        <v>0.886266</v>
      </c>
      <c r="J24" s="5">
        <v>0.21510000000000001</v>
      </c>
      <c r="K24" s="56">
        <f>1.06*0.0422</f>
        <v>4.4732000000000001E-2</v>
      </c>
      <c r="L24" s="5">
        <f>1.06*0.8755</f>
        <v>0.92803000000000002</v>
      </c>
      <c r="M24" s="27">
        <f t="shared" si="5"/>
        <v>0.16059000000000001</v>
      </c>
      <c r="N24" s="43">
        <v>0.47689999999999999</v>
      </c>
      <c r="O24" s="44">
        <v>0</v>
      </c>
      <c r="P24" s="53">
        <f t="shared" si="6"/>
        <v>2.9051480000000001</v>
      </c>
      <c r="Q24" s="54">
        <f t="shared" si="7"/>
        <v>0.14525740000000001</v>
      </c>
      <c r="R24" s="54">
        <f t="shared" si="8"/>
        <v>0.15252027000000001</v>
      </c>
      <c r="S24" s="45">
        <f t="shared" si="9"/>
        <v>3.2029256699999999</v>
      </c>
      <c r="T24" s="46">
        <v>3.1</v>
      </c>
      <c r="U24" s="47"/>
    </row>
    <row r="25" spans="1:28" s="48" customFormat="1" x14ac:dyDescent="0.2">
      <c r="A25" s="5">
        <v>16</v>
      </c>
      <c r="B25" s="6" t="s">
        <v>29</v>
      </c>
      <c r="C25" s="5">
        <v>11</v>
      </c>
      <c r="D25" s="5">
        <v>519.6</v>
      </c>
      <c r="E25" s="5">
        <f t="shared" si="0"/>
        <v>0.32913000000000003</v>
      </c>
      <c r="F25" s="43">
        <v>0</v>
      </c>
      <c r="G25" s="43">
        <v>0</v>
      </c>
      <c r="H25" s="43">
        <v>0</v>
      </c>
      <c r="I25" s="5">
        <f t="shared" si="10"/>
        <v>0.886266</v>
      </c>
      <c r="J25" s="5">
        <v>0.21510000000000001</v>
      </c>
      <c r="K25" s="56">
        <f>1.06*0.0422</f>
        <v>4.4732000000000001E-2</v>
      </c>
      <c r="L25" s="5">
        <f>1.06*0.704</f>
        <v>0.74624000000000001</v>
      </c>
      <c r="M25" s="27">
        <f t="shared" si="5"/>
        <v>0.16059000000000001</v>
      </c>
      <c r="N25" s="43">
        <v>0.42130000000000001</v>
      </c>
      <c r="O25" s="44">
        <v>0</v>
      </c>
      <c r="P25" s="53">
        <f t="shared" si="6"/>
        <v>2.5882580000000002</v>
      </c>
      <c r="Q25" s="54">
        <f t="shared" si="7"/>
        <v>0.12941290000000003</v>
      </c>
      <c r="R25" s="54">
        <f t="shared" si="8"/>
        <v>0.13588354500000002</v>
      </c>
      <c r="S25" s="45">
        <f t="shared" si="9"/>
        <v>2.8535544450000003</v>
      </c>
      <c r="T25" s="46">
        <v>2.76</v>
      </c>
      <c r="U25" s="47"/>
    </row>
    <row r="26" spans="1:28" s="48" customFormat="1" x14ac:dyDescent="0.2">
      <c r="A26" s="5">
        <v>17</v>
      </c>
      <c r="B26" s="6" t="s">
        <v>30</v>
      </c>
      <c r="C26" s="5">
        <v>12</v>
      </c>
      <c r="D26" s="5">
        <v>4206</v>
      </c>
      <c r="E26" s="5">
        <f t="shared" si="0"/>
        <v>0.32913000000000003</v>
      </c>
      <c r="F26" s="43">
        <v>0</v>
      </c>
      <c r="G26" s="43">
        <v>0</v>
      </c>
      <c r="H26" s="43">
        <v>0</v>
      </c>
      <c r="I26" s="5">
        <f t="shared" si="10"/>
        <v>0.886266</v>
      </c>
      <c r="J26" s="5">
        <v>0.21510000000000001</v>
      </c>
      <c r="K26" s="5">
        <f>1.06*0.0398</f>
        <v>4.2188000000000003E-2</v>
      </c>
      <c r="L26" s="5">
        <f>1.06*0.85</f>
        <v>0.90100000000000002</v>
      </c>
      <c r="M26" s="43">
        <f t="shared" si="5"/>
        <v>0.16059000000000001</v>
      </c>
      <c r="N26" s="43">
        <v>0.4637</v>
      </c>
      <c r="O26" s="43">
        <v>0</v>
      </c>
      <c r="P26" s="53">
        <f t="shared" si="6"/>
        <v>2.7828740000000005</v>
      </c>
      <c r="Q26" s="54">
        <f t="shared" si="7"/>
        <v>0.13914370000000004</v>
      </c>
      <c r="R26" s="54">
        <f t="shared" si="8"/>
        <v>0.14610088500000004</v>
      </c>
      <c r="S26" s="45">
        <f t="shared" si="9"/>
        <v>3.0681185850000006</v>
      </c>
      <c r="T26" s="46">
        <v>2.97</v>
      </c>
      <c r="U26" s="47"/>
    </row>
    <row r="27" spans="1:28" s="48" customFormat="1" x14ac:dyDescent="0.2">
      <c r="A27" s="67">
        <v>18</v>
      </c>
      <c r="B27" s="6" t="s">
        <v>42</v>
      </c>
      <c r="C27" s="5" t="s">
        <v>23</v>
      </c>
      <c r="D27" s="5">
        <v>411.1</v>
      </c>
      <c r="E27" s="5">
        <f t="shared" si="0"/>
        <v>0.32913000000000003</v>
      </c>
      <c r="F27" s="43">
        <v>0</v>
      </c>
      <c r="G27" s="43">
        <v>0</v>
      </c>
      <c r="H27" s="43">
        <v>0</v>
      </c>
      <c r="I27" s="5">
        <f t="shared" si="10"/>
        <v>0.886266</v>
      </c>
      <c r="J27" s="5">
        <v>0.21510000000000001</v>
      </c>
      <c r="K27" s="5">
        <f>1.06*0.0398</f>
        <v>4.2188000000000003E-2</v>
      </c>
      <c r="L27" s="5">
        <f>1.06*0.8</f>
        <v>0.84800000000000009</v>
      </c>
      <c r="M27" s="43">
        <f t="shared" si="5"/>
        <v>0.16059000000000001</v>
      </c>
      <c r="N27" s="43">
        <v>0.33119999999999999</v>
      </c>
      <c r="O27" s="43">
        <v>0</v>
      </c>
      <c r="P27" s="53">
        <f t="shared" si="6"/>
        <v>2.5973740000000003</v>
      </c>
      <c r="Q27" s="54">
        <f t="shared" si="7"/>
        <v>0.12986870000000003</v>
      </c>
      <c r="R27" s="54">
        <f>(Q27+P27)*5%</f>
        <v>0.13636213500000002</v>
      </c>
      <c r="S27" s="45">
        <f>R27+Q27+P27</f>
        <v>2.8636048350000003</v>
      </c>
      <c r="T27" s="46">
        <v>2.79</v>
      </c>
      <c r="U27" s="47"/>
    </row>
    <row r="28" spans="1:28" s="48" customFormat="1" x14ac:dyDescent="0.2">
      <c r="A28" s="67"/>
      <c r="B28" s="6" t="s">
        <v>30</v>
      </c>
      <c r="C28" s="5" t="s">
        <v>23</v>
      </c>
      <c r="D28" s="5">
        <v>3975.3</v>
      </c>
      <c r="E28" s="5">
        <f t="shared" si="0"/>
        <v>0.32913000000000003</v>
      </c>
      <c r="F28" s="43">
        <v>0</v>
      </c>
      <c r="G28" s="43">
        <v>0.56999999999999995</v>
      </c>
      <c r="H28" s="43">
        <v>0.127</v>
      </c>
      <c r="I28" s="5">
        <f t="shared" si="10"/>
        <v>0.886266</v>
      </c>
      <c r="J28" s="5">
        <v>0.21510000000000001</v>
      </c>
      <c r="K28" s="5">
        <f>1.07*0.0398</f>
        <v>4.2586000000000006E-2</v>
      </c>
      <c r="L28" s="5">
        <f>1.06*0.77</f>
        <v>0.81620000000000004</v>
      </c>
      <c r="M28" s="43">
        <f t="shared" si="5"/>
        <v>0.16059000000000001</v>
      </c>
      <c r="N28" s="43">
        <v>0.33119999999999999</v>
      </c>
      <c r="O28" s="43">
        <v>0.29720000000000002</v>
      </c>
      <c r="P28" s="53">
        <f t="shared" si="6"/>
        <v>3.5601720000000001</v>
      </c>
      <c r="Q28" s="54">
        <f t="shared" si="7"/>
        <v>0.17800860000000002</v>
      </c>
      <c r="R28" s="54">
        <f>(Q28+P28)*5%</f>
        <v>0.18690903000000003</v>
      </c>
      <c r="S28" s="45">
        <f>R28+Q28+P28</f>
        <v>3.92508963</v>
      </c>
      <c r="T28" s="46">
        <v>3.74</v>
      </c>
      <c r="U28" s="47"/>
    </row>
    <row r="29" spans="1:28" s="48" customFormat="1" x14ac:dyDescent="0.2">
      <c r="A29" s="5">
        <v>19</v>
      </c>
      <c r="B29" s="6" t="s">
        <v>30</v>
      </c>
      <c r="C29" s="5">
        <v>14</v>
      </c>
      <c r="D29" s="5">
        <v>3535.7</v>
      </c>
      <c r="E29" s="5">
        <f t="shared" si="0"/>
        <v>0.32913000000000003</v>
      </c>
      <c r="F29" s="43">
        <v>0</v>
      </c>
      <c r="G29" s="43">
        <v>0</v>
      </c>
      <c r="H29" s="43">
        <v>0</v>
      </c>
      <c r="I29" s="5">
        <f t="shared" si="10"/>
        <v>0.886266</v>
      </c>
      <c r="J29" s="5">
        <v>0.21510000000000001</v>
      </c>
      <c r="K29" s="56">
        <f>1.07*0.0398</f>
        <v>4.2586000000000006E-2</v>
      </c>
      <c r="L29" s="5">
        <f>1.06*0.856</f>
        <v>0.90736000000000006</v>
      </c>
      <c r="M29" s="27">
        <f t="shared" si="5"/>
        <v>0.16059000000000001</v>
      </c>
      <c r="N29" s="43">
        <v>0.45860000000000001</v>
      </c>
      <c r="O29" s="44">
        <v>0</v>
      </c>
      <c r="P29" s="53">
        <f t="shared" ref="P29:P32" si="11">E29+F29+G29+H29+I29+K29+L29+M29+N29+O29</f>
        <v>2.7845320000000005</v>
      </c>
      <c r="Q29" s="54">
        <f t="shared" ref="Q29:Q32" si="12">P29*5%</f>
        <v>0.13922660000000003</v>
      </c>
      <c r="R29" s="54">
        <f>(Q29+P29)*5%</f>
        <v>0.14618793000000005</v>
      </c>
      <c r="S29" s="45">
        <f>R29+Q29+P29</f>
        <v>3.0699465300000006</v>
      </c>
      <c r="T29" s="46"/>
      <c r="U29" s="47"/>
    </row>
    <row r="30" spans="1:28" s="48" customFormat="1" x14ac:dyDescent="0.2">
      <c r="A30" s="5">
        <v>20</v>
      </c>
      <c r="B30" s="6" t="s">
        <v>31</v>
      </c>
      <c r="C30" s="5">
        <v>195</v>
      </c>
      <c r="D30" s="5">
        <v>711.9</v>
      </c>
      <c r="E30" s="43">
        <v>0</v>
      </c>
      <c r="F30" s="43">
        <f t="shared" ref="F30:F32" si="13">0.075*1.06</f>
        <v>7.9500000000000001E-2</v>
      </c>
      <c r="G30" s="43">
        <v>0</v>
      </c>
      <c r="H30" s="43">
        <v>0</v>
      </c>
      <c r="I30" s="5">
        <f t="shared" si="10"/>
        <v>0.886266</v>
      </c>
      <c r="J30" s="5">
        <v>0.21510000000000001</v>
      </c>
      <c r="K30" s="56">
        <f>1.07*0.0398</f>
        <v>4.2586000000000006E-2</v>
      </c>
      <c r="L30" s="5">
        <f>1.06*0.789</f>
        <v>0.83634000000000008</v>
      </c>
      <c r="M30" s="27">
        <v>0</v>
      </c>
      <c r="N30" s="43">
        <v>0.25169999999999998</v>
      </c>
      <c r="O30" s="44">
        <v>0</v>
      </c>
      <c r="P30" s="53">
        <f t="shared" si="11"/>
        <v>2.0963919999999998</v>
      </c>
      <c r="Q30" s="54">
        <f t="shared" si="12"/>
        <v>0.1048196</v>
      </c>
      <c r="R30" s="54">
        <f>(Q30+P30)*5%</f>
        <v>0.11006057999999999</v>
      </c>
      <c r="S30" s="45">
        <f>R30+Q30+P30</f>
        <v>2.3112721799999996</v>
      </c>
      <c r="T30" s="46"/>
      <c r="U30" s="47"/>
    </row>
    <row r="31" spans="1:28" s="48" customFormat="1" x14ac:dyDescent="0.2">
      <c r="A31" s="5">
        <v>21</v>
      </c>
      <c r="B31" s="6" t="s">
        <v>31</v>
      </c>
      <c r="C31" s="5">
        <v>197</v>
      </c>
      <c r="D31" s="5">
        <v>718.4</v>
      </c>
      <c r="E31" s="43">
        <v>0</v>
      </c>
      <c r="F31" s="43">
        <f t="shared" si="13"/>
        <v>7.9500000000000001E-2</v>
      </c>
      <c r="G31" s="43">
        <v>0</v>
      </c>
      <c r="H31" s="43">
        <v>0</v>
      </c>
      <c r="I31" s="5">
        <f t="shared" si="10"/>
        <v>0.886266</v>
      </c>
      <c r="J31" s="5">
        <v>0.21510000000000001</v>
      </c>
      <c r="K31" s="56">
        <f t="shared" ref="K31:K32" si="14">1.06*0.0398</f>
        <v>4.2188000000000003E-2</v>
      </c>
      <c r="L31" s="5">
        <f>1.06*0.743</f>
        <v>0.78758000000000006</v>
      </c>
      <c r="M31" s="27">
        <v>0</v>
      </c>
      <c r="N31" s="43">
        <v>0.25169999999999998</v>
      </c>
      <c r="O31" s="44">
        <v>0</v>
      </c>
      <c r="P31" s="53">
        <f t="shared" si="11"/>
        <v>2.047234</v>
      </c>
      <c r="Q31" s="54">
        <f t="shared" si="12"/>
        <v>0.1023617</v>
      </c>
      <c r="R31" s="54">
        <f t="shared" ref="R31:R32" si="15">(Q31+P31)*5%</f>
        <v>0.10747978499999999</v>
      </c>
      <c r="S31" s="45">
        <f t="shared" ref="S31:S32" si="16">R31+Q31+P31</f>
        <v>2.2570754850000001</v>
      </c>
      <c r="T31" s="46"/>
      <c r="U31" s="47"/>
    </row>
    <row r="32" spans="1:28" s="48" customFormat="1" x14ac:dyDescent="0.2">
      <c r="A32" s="5">
        <v>22</v>
      </c>
      <c r="B32" s="6" t="s">
        <v>31</v>
      </c>
      <c r="C32" s="5">
        <v>199</v>
      </c>
      <c r="D32" s="5">
        <v>495.7</v>
      </c>
      <c r="E32" s="43">
        <v>0</v>
      </c>
      <c r="F32" s="43">
        <f t="shared" si="13"/>
        <v>7.9500000000000001E-2</v>
      </c>
      <c r="G32" s="43">
        <v>0</v>
      </c>
      <c r="H32" s="43">
        <v>0</v>
      </c>
      <c r="I32" s="5">
        <f t="shared" si="10"/>
        <v>0.886266</v>
      </c>
      <c r="J32" s="5">
        <v>0.21510000000000001</v>
      </c>
      <c r="K32" s="56">
        <f t="shared" si="14"/>
        <v>4.2188000000000003E-2</v>
      </c>
      <c r="L32" s="5">
        <f>1.06*0.818</f>
        <v>0.86707999999999996</v>
      </c>
      <c r="M32" s="27">
        <v>0</v>
      </c>
      <c r="N32" s="43">
        <v>0.26500000000000001</v>
      </c>
      <c r="O32" s="44">
        <v>0</v>
      </c>
      <c r="P32" s="53">
        <f t="shared" si="11"/>
        <v>2.140034</v>
      </c>
      <c r="Q32" s="54">
        <f t="shared" si="12"/>
        <v>0.10700170000000001</v>
      </c>
      <c r="R32" s="54">
        <f t="shared" si="15"/>
        <v>0.11235178500000001</v>
      </c>
      <c r="S32" s="45">
        <f t="shared" si="16"/>
        <v>2.3593874850000001</v>
      </c>
      <c r="T32" s="46"/>
      <c r="U32" s="47"/>
    </row>
    <row r="33" spans="1:21" s="48" customFormat="1" x14ac:dyDescent="0.2">
      <c r="A33" s="5">
        <v>23</v>
      </c>
      <c r="B33" s="6" t="s">
        <v>31</v>
      </c>
      <c r="C33" s="5">
        <v>201</v>
      </c>
      <c r="D33" s="5">
        <v>468</v>
      </c>
      <c r="E33" s="43">
        <v>0</v>
      </c>
      <c r="F33" s="43">
        <f t="shared" ref="F33:F35" si="17">0.075*1.06</f>
        <v>7.9500000000000001E-2</v>
      </c>
      <c r="G33" s="43">
        <v>0</v>
      </c>
      <c r="H33" s="43">
        <v>0</v>
      </c>
      <c r="I33" s="5">
        <f t="shared" ref="I33:I48" si="18">1.06*0.8361</f>
        <v>0.886266</v>
      </c>
      <c r="J33" s="5">
        <v>0.21510000000000001</v>
      </c>
      <c r="K33" s="56">
        <f t="shared" ref="K33:K36" si="19">1.06*0.0398</f>
        <v>4.2188000000000003E-2</v>
      </c>
      <c r="L33" s="5">
        <f>1.06*0.818</f>
        <v>0.86707999999999996</v>
      </c>
      <c r="M33" s="27">
        <v>0</v>
      </c>
      <c r="N33" s="43">
        <v>0.26500000000000001</v>
      </c>
      <c r="O33" s="44">
        <v>0</v>
      </c>
      <c r="P33" s="53">
        <f t="shared" ref="P33:P75" si="20">E33+F33+G33+H33+I33+K33+L33+M33+N33+O33</f>
        <v>2.140034</v>
      </c>
      <c r="Q33" s="54">
        <f t="shared" ref="Q33:Q75" si="21">P33*5%</f>
        <v>0.10700170000000001</v>
      </c>
      <c r="R33" s="54">
        <f t="shared" ref="R33:R75" si="22">(Q33+P33)*5%</f>
        <v>0.11235178500000001</v>
      </c>
      <c r="S33" s="45">
        <f t="shared" ref="S33:S75" si="23">R33+Q33+P33</f>
        <v>2.3593874850000001</v>
      </c>
      <c r="T33" s="46"/>
      <c r="U33" s="47"/>
    </row>
    <row r="34" spans="1:21" s="48" customFormat="1" x14ac:dyDescent="0.2">
      <c r="A34" s="5">
        <v>24</v>
      </c>
      <c r="B34" s="6" t="s">
        <v>31</v>
      </c>
      <c r="C34" s="5">
        <v>203</v>
      </c>
      <c r="D34" s="5">
        <v>702.5</v>
      </c>
      <c r="E34" s="43">
        <v>0</v>
      </c>
      <c r="F34" s="43">
        <f t="shared" si="17"/>
        <v>7.9500000000000001E-2</v>
      </c>
      <c r="G34" s="43">
        <v>0</v>
      </c>
      <c r="H34" s="43">
        <v>0</v>
      </c>
      <c r="I34" s="5">
        <f t="shared" si="18"/>
        <v>0.886266</v>
      </c>
      <c r="J34" s="5">
        <v>0.21510000000000001</v>
      </c>
      <c r="K34" s="56">
        <f t="shared" si="19"/>
        <v>4.2188000000000003E-2</v>
      </c>
      <c r="L34" s="5">
        <f>1.06*0.7721</f>
        <v>0.8184260000000001</v>
      </c>
      <c r="M34" s="27">
        <v>0</v>
      </c>
      <c r="N34" s="43">
        <v>0.25309999999999999</v>
      </c>
      <c r="O34" s="44">
        <v>0</v>
      </c>
      <c r="P34" s="53">
        <f t="shared" si="20"/>
        <v>2.0794800000000002</v>
      </c>
      <c r="Q34" s="54">
        <f t="shared" si="21"/>
        <v>0.10397400000000001</v>
      </c>
      <c r="R34" s="54">
        <f t="shared" si="22"/>
        <v>0.10917270000000001</v>
      </c>
      <c r="S34" s="45">
        <f t="shared" si="23"/>
        <v>2.2926267000000005</v>
      </c>
      <c r="T34" s="46"/>
      <c r="U34" s="47"/>
    </row>
    <row r="35" spans="1:21" s="48" customFormat="1" x14ac:dyDescent="0.2">
      <c r="A35" s="5">
        <v>25</v>
      </c>
      <c r="B35" s="6" t="s">
        <v>33</v>
      </c>
      <c r="C35" s="5">
        <v>6</v>
      </c>
      <c r="D35" s="5">
        <v>441.8</v>
      </c>
      <c r="E35" s="5">
        <f t="shared" ref="E35:E48" si="24">0.3105*1.06</f>
        <v>0.32913000000000003</v>
      </c>
      <c r="F35" s="43">
        <f t="shared" si="17"/>
        <v>7.9500000000000001E-2</v>
      </c>
      <c r="G35" s="43">
        <v>0</v>
      </c>
      <c r="H35" s="43">
        <v>0</v>
      </c>
      <c r="I35" s="5">
        <f t="shared" si="18"/>
        <v>0.886266</v>
      </c>
      <c r="J35" s="5">
        <v>0.21510000000000001</v>
      </c>
      <c r="K35" s="56">
        <f t="shared" si="19"/>
        <v>4.2188000000000003E-2</v>
      </c>
      <c r="L35" s="5">
        <f>1.06*0.789</f>
        <v>0.83634000000000008</v>
      </c>
      <c r="M35" s="27">
        <f t="shared" ref="M35:M48" si="25">1.06*0.1515</f>
        <v>0.16059000000000001</v>
      </c>
      <c r="N35" s="43">
        <v>0.3286</v>
      </c>
      <c r="O35" s="44">
        <v>0</v>
      </c>
      <c r="P35" s="53">
        <f t="shared" si="20"/>
        <v>2.6626139999999996</v>
      </c>
      <c r="Q35" s="54">
        <f t="shared" si="21"/>
        <v>0.13313069999999999</v>
      </c>
      <c r="R35" s="54">
        <f t="shared" si="22"/>
        <v>0.13978723499999998</v>
      </c>
      <c r="S35" s="45">
        <f t="shared" si="23"/>
        <v>2.9355319349999993</v>
      </c>
      <c r="T35" s="46">
        <v>2.2999999999999998</v>
      </c>
      <c r="U35" s="47"/>
    </row>
    <row r="36" spans="1:21" s="48" customFormat="1" x14ac:dyDescent="0.2">
      <c r="A36" s="5">
        <v>26</v>
      </c>
      <c r="B36" s="6" t="s">
        <v>32</v>
      </c>
      <c r="C36" s="5">
        <v>8</v>
      </c>
      <c r="D36" s="5">
        <v>1932.94</v>
      </c>
      <c r="E36" s="5">
        <f t="shared" si="24"/>
        <v>0.32913000000000003</v>
      </c>
      <c r="F36" s="43">
        <v>0</v>
      </c>
      <c r="G36" s="43">
        <v>0</v>
      </c>
      <c r="H36" s="43">
        <v>0</v>
      </c>
      <c r="I36" s="5">
        <f t="shared" si="18"/>
        <v>0.886266</v>
      </c>
      <c r="J36" s="5">
        <v>0.21510000000000001</v>
      </c>
      <c r="K36" s="5">
        <f t="shared" si="19"/>
        <v>4.2188000000000003E-2</v>
      </c>
      <c r="L36" s="5">
        <f>1.06*0.789</f>
        <v>0.83634000000000008</v>
      </c>
      <c r="M36" s="43">
        <f t="shared" si="25"/>
        <v>0.16059000000000001</v>
      </c>
      <c r="N36" s="43">
        <v>0.45610000000000001</v>
      </c>
      <c r="O36" s="43">
        <v>0</v>
      </c>
      <c r="P36" s="53">
        <f t="shared" si="20"/>
        <v>2.7106140000000005</v>
      </c>
      <c r="Q36" s="54">
        <f t="shared" si="21"/>
        <v>0.13553070000000003</v>
      </c>
      <c r="R36" s="54">
        <f t="shared" si="22"/>
        <v>0.14230723500000003</v>
      </c>
      <c r="S36" s="45">
        <f t="shared" si="23"/>
        <v>2.9884519350000005</v>
      </c>
      <c r="T36" s="46">
        <v>2.2400000000000002</v>
      </c>
      <c r="U36" s="47"/>
    </row>
    <row r="37" spans="1:21" s="48" customFormat="1" x14ac:dyDescent="0.2">
      <c r="A37" s="5">
        <v>27</v>
      </c>
      <c r="B37" s="6" t="s">
        <v>43</v>
      </c>
      <c r="C37" s="5">
        <v>1</v>
      </c>
      <c r="D37" s="5">
        <v>1439.9</v>
      </c>
      <c r="E37" s="5">
        <f t="shared" si="24"/>
        <v>0.32913000000000003</v>
      </c>
      <c r="F37" s="43">
        <f t="shared" ref="F37:F75" si="26">0.075*1.06</f>
        <v>7.9500000000000001E-2</v>
      </c>
      <c r="G37" s="43">
        <v>0</v>
      </c>
      <c r="H37" s="43">
        <v>0</v>
      </c>
      <c r="I37" s="5">
        <f t="shared" si="18"/>
        <v>0.886266</v>
      </c>
      <c r="J37" s="5">
        <v>0.21510000000000001</v>
      </c>
      <c r="K37" s="5">
        <f>1.06*0.0798</f>
        <v>8.4587999999999997E-2</v>
      </c>
      <c r="L37" s="5">
        <f>1.06*0.748</f>
        <v>0.79288000000000003</v>
      </c>
      <c r="M37" s="43">
        <f t="shared" si="25"/>
        <v>0.16059000000000001</v>
      </c>
      <c r="N37" s="43">
        <v>0.45050000000000001</v>
      </c>
      <c r="O37" s="43">
        <v>0</v>
      </c>
      <c r="P37" s="53">
        <f t="shared" si="20"/>
        <v>2.7834539999999999</v>
      </c>
      <c r="Q37" s="54">
        <f t="shared" si="21"/>
        <v>0.13917270000000001</v>
      </c>
      <c r="R37" s="54">
        <f t="shared" si="22"/>
        <v>0.146131335</v>
      </c>
      <c r="S37" s="45">
        <f t="shared" si="23"/>
        <v>3.0687580350000001</v>
      </c>
      <c r="T37" s="46">
        <v>2.86</v>
      </c>
      <c r="U37" s="47"/>
    </row>
    <row r="38" spans="1:21" s="48" customFormat="1" ht="15.75" x14ac:dyDescent="0.25">
      <c r="A38" s="24"/>
      <c r="B38" s="24"/>
      <c r="C38" s="4"/>
      <c r="D38" s="24"/>
      <c r="E38" s="4"/>
      <c r="F38" s="26"/>
      <c r="G38" s="26"/>
      <c r="H38" s="26"/>
      <c r="I38" s="24"/>
      <c r="J38" s="24"/>
      <c r="K38" s="24"/>
      <c r="L38" s="55"/>
      <c r="M38" s="26"/>
      <c r="N38" s="25"/>
      <c r="O38" s="69" t="s">
        <v>50</v>
      </c>
      <c r="P38" s="70"/>
      <c r="Q38" s="70"/>
      <c r="R38" s="70"/>
      <c r="S38" s="71"/>
      <c r="T38" s="46"/>
      <c r="U38" s="47"/>
    </row>
    <row r="39" spans="1:21" s="48" customFormat="1" x14ac:dyDescent="0.2">
      <c r="A39" s="23">
        <v>1</v>
      </c>
      <c r="B39" s="23">
        <v>2</v>
      </c>
      <c r="C39" s="23">
        <v>3</v>
      </c>
      <c r="D39" s="23">
        <v>4</v>
      </c>
      <c r="E39" s="23">
        <v>5</v>
      </c>
      <c r="F39" s="23">
        <v>6</v>
      </c>
      <c r="G39" s="23">
        <v>7</v>
      </c>
      <c r="H39" s="23">
        <v>8</v>
      </c>
      <c r="I39" s="23">
        <v>9</v>
      </c>
      <c r="J39" s="23">
        <v>10</v>
      </c>
      <c r="K39" s="23">
        <v>11</v>
      </c>
      <c r="L39" s="23">
        <v>12</v>
      </c>
      <c r="M39" s="23">
        <v>13</v>
      </c>
      <c r="N39" s="23">
        <v>14</v>
      </c>
      <c r="O39" s="23">
        <v>15</v>
      </c>
      <c r="P39" s="23">
        <v>16</v>
      </c>
      <c r="Q39" s="23">
        <v>17</v>
      </c>
      <c r="R39" s="23">
        <v>18</v>
      </c>
      <c r="S39" s="23">
        <v>19</v>
      </c>
      <c r="T39" s="46"/>
      <c r="U39" s="47"/>
    </row>
    <row r="40" spans="1:21" s="48" customFormat="1" x14ac:dyDescent="0.2">
      <c r="A40" s="5">
        <v>28</v>
      </c>
      <c r="B40" s="6" t="s">
        <v>43</v>
      </c>
      <c r="C40" s="5">
        <v>35</v>
      </c>
      <c r="D40" s="5">
        <v>3230</v>
      </c>
      <c r="E40" s="5">
        <f t="shared" si="24"/>
        <v>0.32913000000000003</v>
      </c>
      <c r="F40" s="43">
        <f t="shared" si="26"/>
        <v>7.9500000000000001E-2</v>
      </c>
      <c r="G40" s="43">
        <v>0</v>
      </c>
      <c r="H40" s="43">
        <v>0</v>
      </c>
      <c r="I40" s="5">
        <f t="shared" si="18"/>
        <v>0.886266</v>
      </c>
      <c r="J40" s="5">
        <v>0.21510000000000001</v>
      </c>
      <c r="K40" s="5">
        <f>1.06*0.0798</f>
        <v>8.4587999999999997E-2</v>
      </c>
      <c r="L40" s="5">
        <f>1.06*0.853</f>
        <v>0.90417999999999998</v>
      </c>
      <c r="M40" s="43">
        <f t="shared" si="25"/>
        <v>0.16059000000000001</v>
      </c>
      <c r="N40" s="43">
        <v>0.36170000000000002</v>
      </c>
      <c r="O40" s="43">
        <v>0</v>
      </c>
      <c r="P40" s="53">
        <f t="shared" si="20"/>
        <v>2.8059539999999998</v>
      </c>
      <c r="Q40" s="54">
        <f t="shared" si="21"/>
        <v>0.1402977</v>
      </c>
      <c r="R40" s="54">
        <f t="shared" si="22"/>
        <v>0.147312585</v>
      </c>
      <c r="S40" s="45">
        <f t="shared" si="23"/>
        <v>3.0935642849999998</v>
      </c>
      <c r="T40" s="46">
        <v>2.88</v>
      </c>
      <c r="U40" s="47"/>
    </row>
    <row r="41" spans="1:21" s="48" customFormat="1" x14ac:dyDescent="0.2">
      <c r="A41" s="5">
        <v>29</v>
      </c>
      <c r="B41" s="6" t="s">
        <v>40</v>
      </c>
      <c r="C41" s="5">
        <v>9</v>
      </c>
      <c r="D41" s="5">
        <v>2259.87</v>
      </c>
      <c r="E41" s="5">
        <f t="shared" si="24"/>
        <v>0.32913000000000003</v>
      </c>
      <c r="F41" s="43">
        <f t="shared" si="26"/>
        <v>7.9500000000000001E-2</v>
      </c>
      <c r="G41" s="43">
        <v>0</v>
      </c>
      <c r="H41" s="43">
        <v>0</v>
      </c>
      <c r="I41" s="5">
        <f t="shared" si="18"/>
        <v>0.886266</v>
      </c>
      <c r="J41" s="5">
        <v>0.21510000000000001</v>
      </c>
      <c r="K41" s="56">
        <f>1.06*0.0798</f>
        <v>8.4587999999999997E-2</v>
      </c>
      <c r="L41" s="5">
        <f>1.06*0.651</f>
        <v>0.69006000000000001</v>
      </c>
      <c r="M41" s="27">
        <f t="shared" si="25"/>
        <v>0.16059000000000001</v>
      </c>
      <c r="N41" s="43">
        <v>0.43719999999999998</v>
      </c>
      <c r="O41" s="44">
        <v>0</v>
      </c>
      <c r="P41" s="53">
        <f t="shared" si="20"/>
        <v>2.6673339999999999</v>
      </c>
      <c r="Q41" s="54">
        <f t="shared" si="21"/>
        <v>0.1333667</v>
      </c>
      <c r="R41" s="54">
        <f t="shared" si="22"/>
        <v>0.140035035</v>
      </c>
      <c r="S41" s="45">
        <f t="shared" si="23"/>
        <v>2.9407357349999996</v>
      </c>
      <c r="T41" s="46">
        <v>2.97</v>
      </c>
      <c r="U41" s="47"/>
    </row>
    <row r="42" spans="1:21" s="48" customFormat="1" x14ac:dyDescent="0.2">
      <c r="A42" s="5">
        <v>30</v>
      </c>
      <c r="B42" s="6" t="s">
        <v>40</v>
      </c>
      <c r="C42" s="5">
        <v>15</v>
      </c>
      <c r="D42" s="5">
        <v>2982.5</v>
      </c>
      <c r="E42" s="5">
        <f t="shared" si="24"/>
        <v>0.32913000000000003</v>
      </c>
      <c r="F42" s="43">
        <f t="shared" si="26"/>
        <v>7.9500000000000001E-2</v>
      </c>
      <c r="G42" s="43">
        <v>0</v>
      </c>
      <c r="H42" s="43">
        <v>0</v>
      </c>
      <c r="I42" s="5">
        <f t="shared" si="18"/>
        <v>0.886266</v>
      </c>
      <c r="J42" s="5">
        <v>0.21510000000000001</v>
      </c>
      <c r="K42" s="56">
        <f>1.06*0.0798</f>
        <v>8.4587999999999997E-2</v>
      </c>
      <c r="L42" s="5">
        <f>1.06*0.749</f>
        <v>0.79394000000000009</v>
      </c>
      <c r="M42" s="27">
        <f t="shared" si="25"/>
        <v>0.16059000000000001</v>
      </c>
      <c r="N42" s="43">
        <v>0.4637</v>
      </c>
      <c r="O42" s="44">
        <v>0</v>
      </c>
      <c r="P42" s="53">
        <f t="shared" si="20"/>
        <v>2.797714</v>
      </c>
      <c r="Q42" s="54">
        <f t="shared" si="21"/>
        <v>0.1398857</v>
      </c>
      <c r="R42" s="54">
        <f t="shared" si="22"/>
        <v>0.14687998499999999</v>
      </c>
      <c r="S42" s="45">
        <f t="shared" si="23"/>
        <v>3.0844796849999998</v>
      </c>
      <c r="T42" s="46">
        <v>3.01</v>
      </c>
      <c r="U42" s="47"/>
    </row>
    <row r="43" spans="1:21" s="48" customFormat="1" x14ac:dyDescent="0.2">
      <c r="A43" s="5">
        <v>31</v>
      </c>
      <c r="B43" s="6" t="s">
        <v>40</v>
      </c>
      <c r="C43" s="5">
        <v>25</v>
      </c>
      <c r="D43" s="5">
        <v>344.5</v>
      </c>
      <c r="E43" s="5">
        <f t="shared" si="24"/>
        <v>0.32913000000000003</v>
      </c>
      <c r="F43" s="43">
        <f t="shared" si="26"/>
        <v>7.9500000000000001E-2</v>
      </c>
      <c r="G43" s="43">
        <v>0</v>
      </c>
      <c r="H43" s="43">
        <v>0</v>
      </c>
      <c r="I43" s="5">
        <f t="shared" si="18"/>
        <v>0.886266</v>
      </c>
      <c r="J43" s="5">
        <v>0.21510000000000001</v>
      </c>
      <c r="K43" s="56">
        <f>1.06*0.0398</f>
        <v>4.2188000000000003E-2</v>
      </c>
      <c r="L43" s="5">
        <f>1.06*0.759</f>
        <v>0.80454000000000003</v>
      </c>
      <c r="M43" s="27">
        <f t="shared" si="25"/>
        <v>0.16059000000000001</v>
      </c>
      <c r="N43" s="43">
        <v>0.29809999999999998</v>
      </c>
      <c r="O43" s="44">
        <v>0</v>
      </c>
      <c r="P43" s="53">
        <f t="shared" si="20"/>
        <v>2.600314</v>
      </c>
      <c r="Q43" s="54">
        <f t="shared" si="21"/>
        <v>0.13001570000000001</v>
      </c>
      <c r="R43" s="54">
        <f t="shared" si="22"/>
        <v>0.13651648499999999</v>
      </c>
      <c r="S43" s="45">
        <f t="shared" si="23"/>
        <v>2.866846185</v>
      </c>
      <c r="T43" s="46">
        <v>2.84</v>
      </c>
      <c r="U43" s="47"/>
    </row>
    <row r="44" spans="1:21" s="48" customFormat="1" x14ac:dyDescent="0.2">
      <c r="A44" s="5">
        <v>32</v>
      </c>
      <c r="B44" s="6" t="s">
        <v>40</v>
      </c>
      <c r="C44" s="5">
        <v>27</v>
      </c>
      <c r="D44" s="5">
        <v>637.6</v>
      </c>
      <c r="E44" s="5">
        <f t="shared" si="24"/>
        <v>0.32913000000000003</v>
      </c>
      <c r="F44" s="43">
        <f t="shared" si="26"/>
        <v>7.9500000000000001E-2</v>
      </c>
      <c r="G44" s="43">
        <v>0</v>
      </c>
      <c r="H44" s="43">
        <v>0</v>
      </c>
      <c r="I44" s="5">
        <f t="shared" si="18"/>
        <v>0.886266</v>
      </c>
      <c r="J44" s="5">
        <v>0.21510000000000001</v>
      </c>
      <c r="K44" s="56">
        <f>1.06*0.0798</f>
        <v>8.4587999999999997E-2</v>
      </c>
      <c r="L44" s="5">
        <f>1.06*0.77</f>
        <v>0.81620000000000004</v>
      </c>
      <c r="M44" s="27">
        <f t="shared" si="25"/>
        <v>0.16059000000000001</v>
      </c>
      <c r="N44" s="43">
        <v>0.31130000000000002</v>
      </c>
      <c r="O44" s="44">
        <v>0</v>
      </c>
      <c r="P44" s="53">
        <f t="shared" si="20"/>
        <v>2.6675740000000001</v>
      </c>
      <c r="Q44" s="54">
        <f t="shared" si="21"/>
        <v>0.13337870000000002</v>
      </c>
      <c r="R44" s="54">
        <f t="shared" si="22"/>
        <v>0.14004763500000003</v>
      </c>
      <c r="S44" s="45">
        <f t="shared" si="23"/>
        <v>2.941000335</v>
      </c>
      <c r="T44" s="46">
        <v>2.98</v>
      </c>
      <c r="U44" s="47"/>
    </row>
    <row r="45" spans="1:21" s="48" customFormat="1" x14ac:dyDescent="0.2">
      <c r="A45" s="5">
        <v>33</v>
      </c>
      <c r="B45" s="6" t="s">
        <v>40</v>
      </c>
      <c r="C45" s="5">
        <v>29</v>
      </c>
      <c r="D45" s="5">
        <v>2566.5</v>
      </c>
      <c r="E45" s="5">
        <f t="shared" si="24"/>
        <v>0.32913000000000003</v>
      </c>
      <c r="F45" s="43">
        <f t="shared" si="26"/>
        <v>7.9500000000000001E-2</v>
      </c>
      <c r="G45" s="43">
        <v>0</v>
      </c>
      <c r="H45" s="43">
        <v>0</v>
      </c>
      <c r="I45" s="5">
        <f t="shared" si="18"/>
        <v>0.886266</v>
      </c>
      <c r="J45" s="5">
        <v>0.21510000000000001</v>
      </c>
      <c r="K45" s="56">
        <f>1.06*0.0798</f>
        <v>8.4587999999999997E-2</v>
      </c>
      <c r="L45" s="5">
        <f>1.06*0.663</f>
        <v>0.70278000000000007</v>
      </c>
      <c r="M45" s="27">
        <f t="shared" si="25"/>
        <v>0.16059000000000001</v>
      </c>
      <c r="N45" s="43">
        <v>0.43819999999999998</v>
      </c>
      <c r="O45" s="44">
        <v>0</v>
      </c>
      <c r="P45" s="53">
        <f t="shared" si="20"/>
        <v>2.6810540000000005</v>
      </c>
      <c r="Q45" s="54">
        <f t="shared" si="21"/>
        <v>0.13405270000000002</v>
      </c>
      <c r="R45" s="54">
        <f t="shared" si="22"/>
        <v>0.14075533500000001</v>
      </c>
      <c r="S45" s="45">
        <f t="shared" si="23"/>
        <v>2.9558620350000004</v>
      </c>
      <c r="T45" s="46">
        <v>2.8</v>
      </c>
      <c r="U45" s="47"/>
    </row>
    <row r="46" spans="1:21" s="48" customFormat="1" x14ac:dyDescent="0.2">
      <c r="A46" s="5">
        <v>34</v>
      </c>
      <c r="B46" s="6" t="s">
        <v>34</v>
      </c>
      <c r="C46" s="5">
        <v>1</v>
      </c>
      <c r="D46" s="5">
        <v>1734.6</v>
      </c>
      <c r="E46" s="5">
        <f t="shared" si="24"/>
        <v>0.32913000000000003</v>
      </c>
      <c r="F46" s="43">
        <f t="shared" si="26"/>
        <v>7.9500000000000001E-2</v>
      </c>
      <c r="G46" s="43">
        <v>0</v>
      </c>
      <c r="H46" s="43">
        <v>0</v>
      </c>
      <c r="I46" s="5">
        <f t="shared" si="18"/>
        <v>0.886266</v>
      </c>
      <c r="J46" s="5">
        <v>0.21510000000000001</v>
      </c>
      <c r="K46" s="56">
        <f>1.06*0.079</f>
        <v>8.3740000000000009E-2</v>
      </c>
      <c r="L46" s="5">
        <f>1.06*0.81</f>
        <v>0.85860000000000014</v>
      </c>
      <c r="M46" s="27">
        <f t="shared" si="25"/>
        <v>0.16059000000000001</v>
      </c>
      <c r="N46" s="43">
        <v>0.47699999999999998</v>
      </c>
      <c r="O46" s="44">
        <v>0</v>
      </c>
      <c r="P46" s="53">
        <f>E46+F46+G46+H46+I46+K46+L46+M46+N46+O46</f>
        <v>2.8748260000000001</v>
      </c>
      <c r="Q46" s="54">
        <f t="shared" si="21"/>
        <v>0.14374130000000002</v>
      </c>
      <c r="R46" s="54">
        <f t="shared" si="22"/>
        <v>0.15092836500000001</v>
      </c>
      <c r="S46" s="45">
        <f t="shared" si="23"/>
        <v>3.1694956650000004</v>
      </c>
      <c r="T46" s="46">
        <v>2.87</v>
      </c>
      <c r="U46" s="47"/>
    </row>
    <row r="47" spans="1:21" s="48" customFormat="1" x14ac:dyDescent="0.2">
      <c r="A47" s="5">
        <v>35</v>
      </c>
      <c r="B47" s="6" t="s">
        <v>34</v>
      </c>
      <c r="C47" s="5">
        <v>11</v>
      </c>
      <c r="D47" s="5">
        <v>740.4</v>
      </c>
      <c r="E47" s="5">
        <f t="shared" si="24"/>
        <v>0.32913000000000003</v>
      </c>
      <c r="F47" s="43">
        <f t="shared" si="26"/>
        <v>7.9500000000000001E-2</v>
      </c>
      <c r="G47" s="43">
        <v>0</v>
      </c>
      <c r="H47" s="43">
        <v>0</v>
      </c>
      <c r="I47" s="5">
        <f t="shared" si="18"/>
        <v>0.886266</v>
      </c>
      <c r="J47" s="5">
        <v>0.21510000000000001</v>
      </c>
      <c r="K47" s="56">
        <f>1.06*0.0798</f>
        <v>8.4587999999999997E-2</v>
      </c>
      <c r="L47" s="5">
        <f>1.06*0.829</f>
        <v>0.87873999999999997</v>
      </c>
      <c r="M47" s="27">
        <f t="shared" si="25"/>
        <v>0.16059000000000001</v>
      </c>
      <c r="N47" s="43">
        <v>0.33119999999999999</v>
      </c>
      <c r="O47" s="44">
        <v>0</v>
      </c>
      <c r="P47" s="53">
        <f t="shared" si="20"/>
        <v>2.7500140000000002</v>
      </c>
      <c r="Q47" s="54">
        <f t="shared" si="21"/>
        <v>0.1375007</v>
      </c>
      <c r="R47" s="54">
        <f t="shared" si="22"/>
        <v>0.14437573500000001</v>
      </c>
      <c r="S47" s="45">
        <f t="shared" si="23"/>
        <v>3.0318904350000002</v>
      </c>
      <c r="T47" s="46">
        <v>2.86</v>
      </c>
      <c r="U47" s="47"/>
    </row>
    <row r="48" spans="1:21" s="48" customFormat="1" x14ac:dyDescent="0.2">
      <c r="A48" s="5">
        <v>36</v>
      </c>
      <c r="B48" s="6" t="s">
        <v>34</v>
      </c>
      <c r="C48" s="5">
        <v>27</v>
      </c>
      <c r="D48" s="5">
        <v>1535.1</v>
      </c>
      <c r="E48" s="5">
        <f t="shared" si="24"/>
        <v>0.32913000000000003</v>
      </c>
      <c r="F48" s="43">
        <f t="shared" si="26"/>
        <v>7.9500000000000001E-2</v>
      </c>
      <c r="G48" s="43">
        <v>0</v>
      </c>
      <c r="H48" s="43">
        <v>0</v>
      </c>
      <c r="I48" s="5">
        <f t="shared" si="18"/>
        <v>0.886266</v>
      </c>
      <c r="J48" s="5">
        <v>0.21510000000000001</v>
      </c>
      <c r="K48" s="56">
        <f>1.06*0.0798</f>
        <v>8.4587999999999997E-2</v>
      </c>
      <c r="L48" s="5">
        <f>1.06*0.677</f>
        <v>0.71762000000000004</v>
      </c>
      <c r="M48" s="27">
        <f t="shared" si="25"/>
        <v>0.16059000000000001</v>
      </c>
      <c r="N48" s="43">
        <v>0.30470000000000003</v>
      </c>
      <c r="O48" s="44">
        <v>0</v>
      </c>
      <c r="P48" s="53">
        <f t="shared" si="20"/>
        <v>2.5623940000000003</v>
      </c>
      <c r="Q48" s="54">
        <f t="shared" si="21"/>
        <v>0.12811970000000003</v>
      </c>
      <c r="R48" s="54">
        <f t="shared" si="22"/>
        <v>0.13452568500000003</v>
      </c>
      <c r="S48" s="45">
        <f t="shared" si="23"/>
        <v>2.8250393850000002</v>
      </c>
      <c r="T48" s="46">
        <v>3.06</v>
      </c>
      <c r="U48" s="47"/>
    </row>
    <row r="49" spans="1:21" s="48" customFormat="1" x14ac:dyDescent="0.2">
      <c r="A49" s="5">
        <v>37</v>
      </c>
      <c r="B49" s="6" t="s">
        <v>26</v>
      </c>
      <c r="C49" s="5">
        <v>6</v>
      </c>
      <c r="D49" s="5">
        <v>49.1</v>
      </c>
      <c r="E49" s="43">
        <v>0</v>
      </c>
      <c r="F49" s="43">
        <f t="shared" si="26"/>
        <v>7.9500000000000001E-2</v>
      </c>
      <c r="G49" s="43">
        <v>0</v>
      </c>
      <c r="H49" s="43">
        <v>0</v>
      </c>
      <c r="I49" s="43">
        <v>0</v>
      </c>
      <c r="J49" s="43">
        <v>0</v>
      </c>
      <c r="K49" s="56">
        <f t="shared" ref="K49:K67" si="27">1.06*0.0398</f>
        <v>4.2188000000000003E-2</v>
      </c>
      <c r="L49" s="5">
        <f>1.06*0.6135</f>
        <v>0.65031000000000005</v>
      </c>
      <c r="M49" s="27">
        <v>0</v>
      </c>
      <c r="N49" s="43">
        <v>9.1999999999999998E-3</v>
      </c>
      <c r="O49" s="44">
        <v>0</v>
      </c>
      <c r="P49" s="53">
        <f t="shared" si="20"/>
        <v>0.78119800000000006</v>
      </c>
      <c r="Q49" s="54">
        <f t="shared" si="21"/>
        <v>3.9059900000000009E-2</v>
      </c>
      <c r="R49" s="54">
        <f t="shared" si="22"/>
        <v>4.1012895000000008E-2</v>
      </c>
      <c r="S49" s="45">
        <f t="shared" si="23"/>
        <v>0.86127079500000003</v>
      </c>
      <c r="T49" s="46">
        <v>2.96</v>
      </c>
      <c r="U49" s="47"/>
    </row>
    <row r="50" spans="1:21" s="48" customFormat="1" x14ac:dyDescent="0.2">
      <c r="A50" s="5">
        <v>38</v>
      </c>
      <c r="B50" s="6" t="s">
        <v>26</v>
      </c>
      <c r="C50" s="5">
        <v>7</v>
      </c>
      <c r="D50" s="5">
        <v>87.6</v>
      </c>
      <c r="E50" s="43">
        <v>0</v>
      </c>
      <c r="F50" s="43">
        <f t="shared" si="26"/>
        <v>7.9500000000000001E-2</v>
      </c>
      <c r="G50" s="43">
        <v>0</v>
      </c>
      <c r="H50" s="43">
        <v>0</v>
      </c>
      <c r="I50" s="43">
        <v>0</v>
      </c>
      <c r="J50" s="43">
        <v>0</v>
      </c>
      <c r="K50" s="56">
        <f t="shared" si="27"/>
        <v>4.2188000000000003E-2</v>
      </c>
      <c r="L50" s="5">
        <f>1.06*0.606</f>
        <v>0.64236000000000004</v>
      </c>
      <c r="M50" s="27">
        <v>0</v>
      </c>
      <c r="N50" s="43">
        <v>9.1999999999999998E-3</v>
      </c>
      <c r="O50" s="44">
        <v>0</v>
      </c>
      <c r="P50" s="53">
        <f t="shared" si="20"/>
        <v>0.77324800000000005</v>
      </c>
      <c r="Q50" s="54">
        <f t="shared" si="21"/>
        <v>3.8662400000000006E-2</v>
      </c>
      <c r="R50" s="54">
        <f t="shared" si="22"/>
        <v>4.0595520000000003E-2</v>
      </c>
      <c r="S50" s="45">
        <f t="shared" si="23"/>
        <v>0.85250592000000003</v>
      </c>
      <c r="T50" s="46">
        <v>2.76</v>
      </c>
      <c r="U50" s="47"/>
    </row>
    <row r="51" spans="1:21" s="48" customFormat="1" x14ac:dyDescent="0.2">
      <c r="A51" s="5">
        <v>39</v>
      </c>
      <c r="B51" s="6" t="s">
        <v>35</v>
      </c>
      <c r="C51" s="5">
        <v>2</v>
      </c>
      <c r="D51" s="5">
        <v>315.89999999999998</v>
      </c>
      <c r="E51" s="5">
        <f>0.3105*1.06</f>
        <v>0.32913000000000003</v>
      </c>
      <c r="F51" s="43">
        <f t="shared" si="26"/>
        <v>7.9500000000000001E-2</v>
      </c>
      <c r="G51" s="43">
        <v>0</v>
      </c>
      <c r="H51" s="43">
        <v>0</v>
      </c>
      <c r="I51" s="43">
        <v>0</v>
      </c>
      <c r="J51" s="43">
        <v>0</v>
      </c>
      <c r="K51" s="56">
        <f t="shared" si="27"/>
        <v>4.2188000000000003E-2</v>
      </c>
      <c r="L51" s="5">
        <f>1.06*0.55</f>
        <v>0.58300000000000007</v>
      </c>
      <c r="M51" s="27">
        <f>1.06*0.1515</f>
        <v>0.16059000000000001</v>
      </c>
      <c r="N51" s="43">
        <v>0.16300000000000001</v>
      </c>
      <c r="O51" s="44">
        <v>0</v>
      </c>
      <c r="P51" s="53">
        <f t="shared" si="20"/>
        <v>1.3574080000000002</v>
      </c>
      <c r="Q51" s="54">
        <f t="shared" si="21"/>
        <v>6.7870400000000011E-2</v>
      </c>
      <c r="R51" s="54">
        <f t="shared" si="22"/>
        <v>7.1263920000000022E-2</v>
      </c>
      <c r="S51" s="45">
        <f t="shared" si="23"/>
        <v>1.4965423200000001</v>
      </c>
      <c r="T51" s="46">
        <v>0.86</v>
      </c>
      <c r="U51" s="47"/>
    </row>
    <row r="52" spans="1:21" s="48" customFormat="1" x14ac:dyDescent="0.2">
      <c r="A52" s="5">
        <v>40</v>
      </c>
      <c r="B52" s="6" t="s">
        <v>24</v>
      </c>
      <c r="C52" s="5">
        <v>102</v>
      </c>
      <c r="D52" s="5">
        <v>353.7</v>
      </c>
      <c r="E52" s="5">
        <f>0.3105*1.06</f>
        <v>0.32913000000000003</v>
      </c>
      <c r="F52" s="43">
        <f t="shared" si="26"/>
        <v>7.9500000000000001E-2</v>
      </c>
      <c r="G52" s="43">
        <v>0</v>
      </c>
      <c r="H52" s="43">
        <v>0</v>
      </c>
      <c r="I52" s="43">
        <v>0</v>
      </c>
      <c r="J52" s="43">
        <v>0</v>
      </c>
      <c r="K52" s="56">
        <f t="shared" si="27"/>
        <v>4.2188000000000003E-2</v>
      </c>
      <c r="L52" s="5">
        <f>1.06*0.6075</f>
        <v>0.64395000000000002</v>
      </c>
      <c r="M52" s="27">
        <f>1.06*0.1515</f>
        <v>0.16059000000000001</v>
      </c>
      <c r="N52" s="43">
        <v>0.1636</v>
      </c>
      <c r="O52" s="44">
        <v>0</v>
      </c>
      <c r="P52" s="53">
        <f t="shared" si="20"/>
        <v>1.4189580000000002</v>
      </c>
      <c r="Q52" s="54">
        <f t="shared" si="21"/>
        <v>7.0947900000000008E-2</v>
      </c>
      <c r="R52" s="54">
        <f t="shared" si="22"/>
        <v>7.4495295000000003E-2</v>
      </c>
      <c r="S52" s="45">
        <f t="shared" si="23"/>
        <v>1.5644011950000003</v>
      </c>
      <c r="T52" s="46">
        <v>0.85</v>
      </c>
      <c r="U52" s="47"/>
    </row>
    <row r="53" spans="1:21" s="48" customFormat="1" x14ac:dyDescent="0.2">
      <c r="A53" s="5">
        <v>41</v>
      </c>
      <c r="B53" s="6" t="s">
        <v>24</v>
      </c>
      <c r="C53" s="5">
        <v>104</v>
      </c>
      <c r="D53" s="5">
        <v>122.7</v>
      </c>
      <c r="E53" s="43">
        <v>0</v>
      </c>
      <c r="F53" s="43">
        <f t="shared" si="26"/>
        <v>7.9500000000000001E-2</v>
      </c>
      <c r="G53" s="43">
        <v>0</v>
      </c>
      <c r="H53" s="43">
        <v>0</v>
      </c>
      <c r="I53" s="43">
        <v>0</v>
      </c>
      <c r="J53" s="43">
        <v>0</v>
      </c>
      <c r="K53" s="56">
        <f t="shared" si="27"/>
        <v>4.2188000000000003E-2</v>
      </c>
      <c r="L53" s="5">
        <f>1.06*0.607</f>
        <v>0.64341999999999999</v>
      </c>
      <c r="M53" s="27">
        <v>0</v>
      </c>
      <c r="N53" s="43">
        <v>9.1999999999999998E-3</v>
      </c>
      <c r="O53" s="44">
        <v>0</v>
      </c>
      <c r="P53" s="53">
        <f t="shared" si="20"/>
        <v>0.774308</v>
      </c>
      <c r="Q53" s="54">
        <f t="shared" si="21"/>
        <v>3.8715400000000004E-2</v>
      </c>
      <c r="R53" s="54">
        <f t="shared" si="22"/>
        <v>4.065117E-2</v>
      </c>
      <c r="S53" s="45">
        <f t="shared" si="23"/>
        <v>0.85367457000000002</v>
      </c>
      <c r="T53" s="46">
        <v>1.46</v>
      </c>
      <c r="U53" s="47"/>
    </row>
    <row r="54" spans="1:21" s="48" customFormat="1" x14ac:dyDescent="0.2">
      <c r="A54" s="5">
        <v>42</v>
      </c>
      <c r="B54" s="6" t="s">
        <v>25</v>
      </c>
      <c r="C54" s="5">
        <v>5</v>
      </c>
      <c r="D54" s="5">
        <v>34.1</v>
      </c>
      <c r="E54" s="43">
        <v>0</v>
      </c>
      <c r="F54" s="43">
        <f t="shared" si="26"/>
        <v>7.9500000000000001E-2</v>
      </c>
      <c r="G54" s="43">
        <v>0</v>
      </c>
      <c r="H54" s="43">
        <v>0</v>
      </c>
      <c r="I54" s="43">
        <v>0</v>
      </c>
      <c r="J54" s="43">
        <v>0</v>
      </c>
      <c r="K54" s="56">
        <f t="shared" si="27"/>
        <v>4.2188000000000003E-2</v>
      </c>
      <c r="L54" s="5">
        <f>1.06*0.6023</f>
        <v>0.63843799999999995</v>
      </c>
      <c r="M54" s="27">
        <v>0</v>
      </c>
      <c r="N54" s="43">
        <v>9.1999999999999998E-3</v>
      </c>
      <c r="O54" s="44">
        <v>0</v>
      </c>
      <c r="P54" s="53">
        <f t="shared" si="20"/>
        <v>0.76932599999999995</v>
      </c>
      <c r="Q54" s="54">
        <f t="shared" si="21"/>
        <v>3.8466300000000002E-2</v>
      </c>
      <c r="R54" s="54">
        <f t="shared" si="22"/>
        <v>4.0389614999999997E-2</v>
      </c>
      <c r="S54" s="45">
        <f t="shared" si="23"/>
        <v>0.84818191499999995</v>
      </c>
      <c r="T54" s="46">
        <v>1.53</v>
      </c>
      <c r="U54" s="47"/>
    </row>
    <row r="55" spans="1:21" s="48" customFormat="1" x14ac:dyDescent="0.2">
      <c r="A55" s="5">
        <v>43</v>
      </c>
      <c r="B55" s="6" t="s">
        <v>38</v>
      </c>
      <c r="C55" s="5">
        <v>47</v>
      </c>
      <c r="D55" s="5">
        <v>52.7</v>
      </c>
      <c r="E55" s="43">
        <v>0</v>
      </c>
      <c r="F55" s="43">
        <f t="shared" si="26"/>
        <v>7.9500000000000001E-2</v>
      </c>
      <c r="G55" s="43">
        <v>0</v>
      </c>
      <c r="H55" s="43">
        <v>0</v>
      </c>
      <c r="I55" s="43">
        <v>0</v>
      </c>
      <c r="J55" s="43">
        <v>0</v>
      </c>
      <c r="K55" s="56">
        <f t="shared" si="27"/>
        <v>4.2188000000000003E-2</v>
      </c>
      <c r="L55" s="5">
        <f>1.06*0.605</f>
        <v>0.64129999999999998</v>
      </c>
      <c r="M55" s="27">
        <v>0</v>
      </c>
      <c r="N55" s="43">
        <v>9.1999999999999998E-3</v>
      </c>
      <c r="O55" s="44">
        <v>0</v>
      </c>
      <c r="P55" s="53">
        <f t="shared" si="20"/>
        <v>0.77218799999999999</v>
      </c>
      <c r="Q55" s="54">
        <f t="shared" si="21"/>
        <v>3.8609400000000002E-2</v>
      </c>
      <c r="R55" s="54">
        <f t="shared" si="22"/>
        <v>4.0539870000000006E-2</v>
      </c>
      <c r="S55" s="45">
        <f t="shared" si="23"/>
        <v>0.85133727000000003</v>
      </c>
      <c r="T55" s="46">
        <v>0.85</v>
      </c>
      <c r="U55" s="47"/>
    </row>
    <row r="56" spans="1:21" s="48" customFormat="1" x14ac:dyDescent="0.2">
      <c r="A56" s="5">
        <v>44</v>
      </c>
      <c r="B56" s="6" t="s">
        <v>27</v>
      </c>
      <c r="C56" s="5">
        <v>49</v>
      </c>
      <c r="D56" s="5">
        <v>24.4</v>
      </c>
      <c r="E56" s="43">
        <v>0</v>
      </c>
      <c r="F56" s="43">
        <f t="shared" si="26"/>
        <v>7.9500000000000001E-2</v>
      </c>
      <c r="G56" s="43">
        <v>0</v>
      </c>
      <c r="H56" s="43">
        <v>0</v>
      </c>
      <c r="I56" s="43">
        <v>0</v>
      </c>
      <c r="J56" s="43">
        <v>0</v>
      </c>
      <c r="K56" s="56">
        <f t="shared" si="27"/>
        <v>4.2188000000000003E-2</v>
      </c>
      <c r="L56" s="5">
        <f>1.06*0.604</f>
        <v>0.64024000000000003</v>
      </c>
      <c r="M56" s="27">
        <v>0</v>
      </c>
      <c r="N56" s="43">
        <v>9.1999999999999998E-3</v>
      </c>
      <c r="O56" s="44">
        <v>0</v>
      </c>
      <c r="P56" s="53">
        <f t="shared" si="20"/>
        <v>0.77112800000000004</v>
      </c>
      <c r="Q56" s="54">
        <f t="shared" si="21"/>
        <v>3.8556400000000005E-2</v>
      </c>
      <c r="R56" s="54">
        <f t="shared" si="22"/>
        <v>4.0484220000000008E-2</v>
      </c>
      <c r="S56" s="45">
        <f t="shared" si="23"/>
        <v>0.85016862000000004</v>
      </c>
      <c r="T56" s="46">
        <v>0.85</v>
      </c>
      <c r="U56" s="47"/>
    </row>
    <row r="57" spans="1:21" s="48" customFormat="1" x14ac:dyDescent="0.2">
      <c r="A57" s="5">
        <v>45</v>
      </c>
      <c r="B57" s="6" t="s">
        <v>27</v>
      </c>
      <c r="C57" s="5">
        <v>51</v>
      </c>
      <c r="D57" s="5">
        <v>70.8</v>
      </c>
      <c r="E57" s="43">
        <v>0</v>
      </c>
      <c r="F57" s="43">
        <f t="shared" si="26"/>
        <v>7.9500000000000001E-2</v>
      </c>
      <c r="G57" s="43">
        <v>0</v>
      </c>
      <c r="H57" s="43">
        <v>0</v>
      </c>
      <c r="I57" s="43">
        <v>0</v>
      </c>
      <c r="J57" s="43">
        <v>0</v>
      </c>
      <c r="K57" s="56">
        <f t="shared" si="27"/>
        <v>4.2188000000000003E-2</v>
      </c>
      <c r="L57" s="5">
        <f>1.06*0.6055</f>
        <v>0.64183000000000012</v>
      </c>
      <c r="M57" s="27">
        <v>0</v>
      </c>
      <c r="N57" s="43">
        <v>9.1999999999999998E-3</v>
      </c>
      <c r="O57" s="44">
        <v>0</v>
      </c>
      <c r="P57" s="53">
        <f t="shared" si="20"/>
        <v>0.77271800000000013</v>
      </c>
      <c r="Q57" s="54">
        <f t="shared" si="21"/>
        <v>3.8635900000000008E-2</v>
      </c>
      <c r="R57" s="54">
        <f t="shared" si="22"/>
        <v>4.0567695000000015E-2</v>
      </c>
      <c r="S57" s="45">
        <f t="shared" si="23"/>
        <v>0.85192159500000009</v>
      </c>
      <c r="T57" s="46">
        <v>0.85</v>
      </c>
      <c r="U57" s="47"/>
    </row>
    <row r="58" spans="1:21" s="48" customFormat="1" x14ac:dyDescent="0.2">
      <c r="A58" s="5">
        <v>46</v>
      </c>
      <c r="B58" s="6" t="s">
        <v>27</v>
      </c>
      <c r="C58" s="5">
        <v>52</v>
      </c>
      <c r="D58" s="5">
        <v>61.5</v>
      </c>
      <c r="E58" s="43">
        <v>0</v>
      </c>
      <c r="F58" s="43">
        <f t="shared" si="26"/>
        <v>7.9500000000000001E-2</v>
      </c>
      <c r="G58" s="43">
        <v>0</v>
      </c>
      <c r="H58" s="43">
        <v>0</v>
      </c>
      <c r="I58" s="43">
        <v>0</v>
      </c>
      <c r="J58" s="43">
        <v>0</v>
      </c>
      <c r="K58" s="56">
        <f t="shared" si="27"/>
        <v>4.2188000000000003E-2</v>
      </c>
      <c r="L58" s="5">
        <f>1.06*0.593</f>
        <v>0.62858000000000003</v>
      </c>
      <c r="M58" s="27">
        <v>0</v>
      </c>
      <c r="N58" s="43">
        <v>9.1999999999999998E-3</v>
      </c>
      <c r="O58" s="44">
        <v>0</v>
      </c>
      <c r="P58" s="53">
        <f t="shared" si="20"/>
        <v>0.75946800000000003</v>
      </c>
      <c r="Q58" s="54">
        <f t="shared" si="21"/>
        <v>3.7973400000000004E-2</v>
      </c>
      <c r="R58" s="54">
        <f t="shared" si="22"/>
        <v>3.9872070000000009E-2</v>
      </c>
      <c r="S58" s="45">
        <f t="shared" si="23"/>
        <v>0.83731347</v>
      </c>
      <c r="T58" s="46">
        <v>0.85</v>
      </c>
      <c r="U58" s="47"/>
    </row>
    <row r="59" spans="1:21" s="48" customFormat="1" x14ac:dyDescent="0.2">
      <c r="A59" s="5">
        <v>47</v>
      </c>
      <c r="B59" s="6" t="s">
        <v>27</v>
      </c>
      <c r="C59" s="5">
        <v>54</v>
      </c>
      <c r="D59" s="5">
        <v>106</v>
      </c>
      <c r="E59" s="43">
        <v>0</v>
      </c>
      <c r="F59" s="43">
        <f t="shared" si="26"/>
        <v>7.9500000000000001E-2</v>
      </c>
      <c r="G59" s="43">
        <v>0</v>
      </c>
      <c r="H59" s="43">
        <v>0</v>
      </c>
      <c r="I59" s="43">
        <v>0</v>
      </c>
      <c r="J59" s="43">
        <v>0</v>
      </c>
      <c r="K59" s="56">
        <f t="shared" si="27"/>
        <v>4.2188000000000003E-2</v>
      </c>
      <c r="L59" s="5">
        <f>1.06*0.605</f>
        <v>0.64129999999999998</v>
      </c>
      <c r="M59" s="27">
        <v>0</v>
      </c>
      <c r="N59" s="43">
        <v>9.1999999999999998E-3</v>
      </c>
      <c r="O59" s="44">
        <v>0</v>
      </c>
      <c r="P59" s="53">
        <f t="shared" si="20"/>
        <v>0.77218799999999999</v>
      </c>
      <c r="Q59" s="54">
        <f t="shared" si="21"/>
        <v>3.8609400000000002E-2</v>
      </c>
      <c r="R59" s="54">
        <f t="shared" si="22"/>
        <v>4.0539870000000006E-2</v>
      </c>
      <c r="S59" s="45">
        <f t="shared" si="23"/>
        <v>0.85133727000000003</v>
      </c>
      <c r="T59" s="46">
        <v>0.85</v>
      </c>
      <c r="U59" s="47"/>
    </row>
    <row r="60" spans="1:21" s="48" customFormat="1" x14ac:dyDescent="0.2">
      <c r="A60" s="5">
        <v>48</v>
      </c>
      <c r="B60" s="6" t="s">
        <v>27</v>
      </c>
      <c r="C60" s="5">
        <v>57</v>
      </c>
      <c r="D60" s="5">
        <v>144</v>
      </c>
      <c r="E60" s="43">
        <v>0</v>
      </c>
      <c r="F60" s="43">
        <f t="shared" si="26"/>
        <v>7.9500000000000001E-2</v>
      </c>
      <c r="G60" s="43">
        <v>0</v>
      </c>
      <c r="H60" s="43">
        <v>0</v>
      </c>
      <c r="I60" s="43">
        <v>0</v>
      </c>
      <c r="J60" s="43">
        <v>0</v>
      </c>
      <c r="K60" s="56">
        <f t="shared" si="27"/>
        <v>4.2188000000000003E-2</v>
      </c>
      <c r="L60" s="5">
        <f>1.06*0.6035</f>
        <v>0.63971000000000011</v>
      </c>
      <c r="M60" s="27">
        <v>0</v>
      </c>
      <c r="N60" s="43">
        <v>9.1999999999999998E-3</v>
      </c>
      <c r="O60" s="44">
        <v>0</v>
      </c>
      <c r="P60" s="53">
        <f t="shared" si="20"/>
        <v>0.77059800000000012</v>
      </c>
      <c r="Q60" s="54">
        <f t="shared" si="21"/>
        <v>3.8529900000000006E-2</v>
      </c>
      <c r="R60" s="54">
        <f t="shared" si="22"/>
        <v>4.0456395000000006E-2</v>
      </c>
      <c r="S60" s="45">
        <f t="shared" si="23"/>
        <v>0.8495842950000001</v>
      </c>
      <c r="T60" s="46">
        <v>0.84</v>
      </c>
      <c r="U60" s="47"/>
    </row>
    <row r="61" spans="1:21" s="48" customFormat="1" x14ac:dyDescent="0.2">
      <c r="A61" s="5">
        <v>49</v>
      </c>
      <c r="B61" s="6" t="s">
        <v>27</v>
      </c>
      <c r="C61" s="5">
        <v>59</v>
      </c>
      <c r="D61" s="5">
        <v>47.1</v>
      </c>
      <c r="E61" s="43">
        <v>0</v>
      </c>
      <c r="F61" s="43">
        <f t="shared" si="26"/>
        <v>7.9500000000000001E-2</v>
      </c>
      <c r="G61" s="43">
        <v>0</v>
      </c>
      <c r="H61" s="43">
        <v>0</v>
      </c>
      <c r="I61" s="43">
        <v>0</v>
      </c>
      <c r="J61" s="43">
        <v>0</v>
      </c>
      <c r="K61" s="56">
        <f t="shared" si="27"/>
        <v>4.2188000000000003E-2</v>
      </c>
      <c r="L61" s="5">
        <f>1.06*0.603</f>
        <v>0.63917999999999997</v>
      </c>
      <c r="M61" s="27">
        <v>0</v>
      </c>
      <c r="N61" s="43">
        <v>9.1999999999999998E-3</v>
      </c>
      <c r="O61" s="44">
        <v>0</v>
      </c>
      <c r="P61" s="53">
        <f t="shared" si="20"/>
        <v>0.77006799999999997</v>
      </c>
      <c r="Q61" s="54">
        <f t="shared" si="21"/>
        <v>3.85034E-2</v>
      </c>
      <c r="R61" s="54">
        <f t="shared" si="22"/>
        <v>4.0428569999999997E-2</v>
      </c>
      <c r="S61" s="45">
        <f t="shared" si="23"/>
        <v>0.84899996999999994</v>
      </c>
      <c r="T61" s="46">
        <v>0.85</v>
      </c>
      <c r="U61" s="47"/>
    </row>
    <row r="62" spans="1:21" s="48" customFormat="1" x14ac:dyDescent="0.2">
      <c r="A62" s="5">
        <v>50</v>
      </c>
      <c r="B62" s="6" t="s">
        <v>36</v>
      </c>
      <c r="C62" s="5">
        <v>5</v>
      </c>
      <c r="D62" s="5">
        <v>263</v>
      </c>
      <c r="E62" s="5">
        <f>0.3105*1.06</f>
        <v>0.32913000000000003</v>
      </c>
      <c r="F62" s="43">
        <f t="shared" si="26"/>
        <v>7.9500000000000001E-2</v>
      </c>
      <c r="G62" s="43">
        <v>0</v>
      </c>
      <c r="H62" s="43">
        <v>0</v>
      </c>
      <c r="I62" s="43">
        <v>0</v>
      </c>
      <c r="J62" s="43">
        <v>0</v>
      </c>
      <c r="K62" s="56">
        <f t="shared" si="27"/>
        <v>4.2188000000000003E-2</v>
      </c>
      <c r="L62" s="5">
        <f>1.06*0.572</f>
        <v>0.60631999999999997</v>
      </c>
      <c r="M62" s="27">
        <f>1.06*0.1515</f>
        <v>0.16059000000000001</v>
      </c>
      <c r="N62" s="43">
        <v>0.159</v>
      </c>
      <c r="O62" s="44">
        <v>0</v>
      </c>
      <c r="P62" s="53">
        <f t="shared" si="20"/>
        <v>1.3767280000000002</v>
      </c>
      <c r="Q62" s="54">
        <f t="shared" si="21"/>
        <v>6.8836400000000006E-2</v>
      </c>
      <c r="R62" s="54">
        <f t="shared" si="22"/>
        <v>7.2278220000000004E-2</v>
      </c>
      <c r="S62" s="45">
        <f t="shared" si="23"/>
        <v>1.5178426200000001</v>
      </c>
      <c r="T62" s="46">
        <v>0.85</v>
      </c>
      <c r="U62" s="47"/>
    </row>
    <row r="63" spans="1:21" s="48" customFormat="1" x14ac:dyDescent="0.2">
      <c r="A63" s="5">
        <v>51</v>
      </c>
      <c r="B63" s="6" t="s">
        <v>30</v>
      </c>
      <c r="C63" s="5">
        <v>25</v>
      </c>
      <c r="D63" s="5">
        <v>77.2</v>
      </c>
      <c r="E63" s="43">
        <v>0</v>
      </c>
      <c r="F63" s="43">
        <f t="shared" si="26"/>
        <v>7.9500000000000001E-2</v>
      </c>
      <c r="G63" s="43">
        <v>0</v>
      </c>
      <c r="H63" s="43">
        <v>0</v>
      </c>
      <c r="I63" s="43">
        <v>0</v>
      </c>
      <c r="J63" s="43">
        <v>0</v>
      </c>
      <c r="K63" s="56">
        <f t="shared" si="27"/>
        <v>4.2188000000000003E-2</v>
      </c>
      <c r="L63" s="5">
        <f>1.06*0.603</f>
        <v>0.63917999999999997</v>
      </c>
      <c r="M63" s="27">
        <v>0</v>
      </c>
      <c r="N63" s="43">
        <v>9.1999999999999998E-3</v>
      </c>
      <c r="O63" s="44">
        <v>0</v>
      </c>
      <c r="P63" s="53">
        <f t="shared" si="20"/>
        <v>0.77006799999999997</v>
      </c>
      <c r="Q63" s="54">
        <f t="shared" si="21"/>
        <v>3.85034E-2</v>
      </c>
      <c r="R63" s="54">
        <f t="shared" si="22"/>
        <v>4.0428569999999997E-2</v>
      </c>
      <c r="S63" s="45">
        <f t="shared" si="23"/>
        <v>0.84899996999999994</v>
      </c>
      <c r="T63" s="46">
        <v>0.85</v>
      </c>
      <c r="U63" s="47"/>
    </row>
    <row r="64" spans="1:21" s="48" customFormat="1" x14ac:dyDescent="0.2">
      <c r="A64" s="5">
        <v>52</v>
      </c>
      <c r="B64" s="6" t="s">
        <v>30</v>
      </c>
      <c r="C64" s="5">
        <v>27</v>
      </c>
      <c r="D64" s="5">
        <v>232.5</v>
      </c>
      <c r="E64" s="43">
        <v>0</v>
      </c>
      <c r="F64" s="43">
        <f t="shared" si="26"/>
        <v>7.9500000000000001E-2</v>
      </c>
      <c r="G64" s="43">
        <v>0</v>
      </c>
      <c r="H64" s="43">
        <v>0</v>
      </c>
      <c r="I64" s="43">
        <v>0</v>
      </c>
      <c r="J64" s="43">
        <v>0</v>
      </c>
      <c r="K64" s="56">
        <f t="shared" si="27"/>
        <v>4.2188000000000003E-2</v>
      </c>
      <c r="L64" s="5">
        <f>1.06*0.602</f>
        <v>0.63812000000000002</v>
      </c>
      <c r="M64" s="27">
        <v>0</v>
      </c>
      <c r="N64" s="43">
        <v>9.1999999999999998E-3</v>
      </c>
      <c r="O64" s="44">
        <v>0</v>
      </c>
      <c r="P64" s="53">
        <f t="shared" si="20"/>
        <v>0.76900800000000002</v>
      </c>
      <c r="Q64" s="54">
        <f t="shared" si="21"/>
        <v>3.8450400000000003E-2</v>
      </c>
      <c r="R64" s="54">
        <f t="shared" si="22"/>
        <v>4.0372920000000007E-2</v>
      </c>
      <c r="S64" s="45">
        <f t="shared" si="23"/>
        <v>0.84783132000000005</v>
      </c>
      <c r="T64" s="46">
        <v>1.48</v>
      </c>
      <c r="U64" s="47"/>
    </row>
    <row r="65" spans="1:28" s="48" customFormat="1" x14ac:dyDescent="0.2">
      <c r="A65" s="5">
        <v>53</v>
      </c>
      <c r="B65" s="6" t="s">
        <v>30</v>
      </c>
      <c r="C65" s="5">
        <v>39</v>
      </c>
      <c r="D65" s="5">
        <v>59.1</v>
      </c>
      <c r="E65" s="43">
        <v>0</v>
      </c>
      <c r="F65" s="43">
        <f t="shared" si="26"/>
        <v>7.9500000000000001E-2</v>
      </c>
      <c r="G65" s="43">
        <v>0</v>
      </c>
      <c r="H65" s="43">
        <v>0</v>
      </c>
      <c r="I65" s="43">
        <v>0</v>
      </c>
      <c r="J65" s="43">
        <v>0</v>
      </c>
      <c r="K65" s="56">
        <f t="shared" si="27"/>
        <v>4.2188000000000003E-2</v>
      </c>
      <c r="L65" s="5">
        <f>1.06*0.608</f>
        <v>0.64448000000000005</v>
      </c>
      <c r="M65" s="27">
        <v>0</v>
      </c>
      <c r="N65" s="43">
        <v>9.1999999999999998E-3</v>
      </c>
      <c r="O65" s="44">
        <v>0</v>
      </c>
      <c r="P65" s="53">
        <f t="shared" si="20"/>
        <v>0.77536800000000006</v>
      </c>
      <c r="Q65" s="54">
        <f t="shared" si="21"/>
        <v>3.8768400000000008E-2</v>
      </c>
      <c r="R65" s="54">
        <f t="shared" si="22"/>
        <v>4.0706820000000005E-2</v>
      </c>
      <c r="S65" s="45">
        <f t="shared" si="23"/>
        <v>0.85484322000000001</v>
      </c>
      <c r="T65" s="46">
        <v>0.85</v>
      </c>
      <c r="U65" s="47"/>
    </row>
    <row r="66" spans="1:28" s="48" customFormat="1" x14ac:dyDescent="0.2">
      <c r="A66" s="5">
        <v>54</v>
      </c>
      <c r="B66" s="6" t="s">
        <v>43</v>
      </c>
      <c r="C66" s="5">
        <v>21</v>
      </c>
      <c r="D66" s="5">
        <v>46</v>
      </c>
      <c r="E66" s="43">
        <v>0</v>
      </c>
      <c r="F66" s="43">
        <f t="shared" si="26"/>
        <v>7.9500000000000001E-2</v>
      </c>
      <c r="G66" s="43">
        <v>0</v>
      </c>
      <c r="H66" s="43">
        <v>0</v>
      </c>
      <c r="I66" s="43">
        <v>0</v>
      </c>
      <c r="J66" s="43">
        <v>0</v>
      </c>
      <c r="K66" s="56">
        <f t="shared" si="27"/>
        <v>4.2188000000000003E-2</v>
      </c>
      <c r="L66" s="5">
        <f>1.06*0.6015</f>
        <v>0.6375900000000001</v>
      </c>
      <c r="M66" s="27">
        <v>0</v>
      </c>
      <c r="N66" s="43">
        <v>9.1999999999999998E-3</v>
      </c>
      <c r="O66" s="44">
        <v>0</v>
      </c>
      <c r="P66" s="53">
        <f t="shared" si="20"/>
        <v>0.76847800000000011</v>
      </c>
      <c r="Q66" s="54">
        <f t="shared" si="21"/>
        <v>3.8423900000000011E-2</v>
      </c>
      <c r="R66" s="54">
        <f t="shared" si="22"/>
        <v>4.0345095000000011E-2</v>
      </c>
      <c r="S66" s="45">
        <f t="shared" si="23"/>
        <v>0.84724699500000011</v>
      </c>
      <c r="T66" s="46">
        <v>0.85</v>
      </c>
      <c r="U66" s="47"/>
    </row>
    <row r="67" spans="1:28" s="48" customFormat="1" x14ac:dyDescent="0.2">
      <c r="A67" s="5">
        <v>55</v>
      </c>
      <c r="B67" s="6" t="s">
        <v>43</v>
      </c>
      <c r="C67" s="5">
        <v>27</v>
      </c>
      <c r="D67" s="5">
        <v>65.2</v>
      </c>
      <c r="E67" s="43">
        <v>0</v>
      </c>
      <c r="F67" s="43">
        <f t="shared" si="26"/>
        <v>7.9500000000000001E-2</v>
      </c>
      <c r="G67" s="43">
        <v>0</v>
      </c>
      <c r="H67" s="43">
        <v>0</v>
      </c>
      <c r="I67" s="43">
        <v>0</v>
      </c>
      <c r="J67" s="43">
        <v>0</v>
      </c>
      <c r="K67" s="56">
        <f t="shared" si="27"/>
        <v>4.2188000000000003E-2</v>
      </c>
      <c r="L67" s="5">
        <f>1.06*0.605</f>
        <v>0.64129999999999998</v>
      </c>
      <c r="M67" s="27">
        <v>0</v>
      </c>
      <c r="N67" s="43">
        <v>9.1999999999999998E-3</v>
      </c>
      <c r="O67" s="44">
        <v>0</v>
      </c>
      <c r="P67" s="53">
        <f t="shared" si="20"/>
        <v>0.77218799999999999</v>
      </c>
      <c r="Q67" s="54">
        <f t="shared" si="21"/>
        <v>3.8609400000000002E-2</v>
      </c>
      <c r="R67" s="54">
        <f t="shared" si="22"/>
        <v>4.0539870000000006E-2</v>
      </c>
      <c r="S67" s="45">
        <f t="shared" si="23"/>
        <v>0.85133727000000003</v>
      </c>
      <c r="T67" s="46">
        <v>0.85</v>
      </c>
      <c r="U67" s="47"/>
    </row>
    <row r="68" spans="1:28" s="48" customFormat="1" x14ac:dyDescent="0.2">
      <c r="A68" s="5">
        <v>56</v>
      </c>
      <c r="B68" s="6" t="s">
        <v>43</v>
      </c>
      <c r="C68" s="5">
        <v>33</v>
      </c>
      <c r="D68" s="5">
        <v>95.6</v>
      </c>
      <c r="E68" s="43">
        <v>0</v>
      </c>
      <c r="F68" s="43">
        <f t="shared" si="26"/>
        <v>7.9500000000000001E-2</v>
      </c>
      <c r="G68" s="43">
        <v>0</v>
      </c>
      <c r="H68" s="43">
        <v>0</v>
      </c>
      <c r="I68" s="43">
        <v>0</v>
      </c>
      <c r="J68" s="43">
        <v>0</v>
      </c>
      <c r="K68" s="56">
        <v>3.9800000000000002E-2</v>
      </c>
      <c r="L68" s="5">
        <f>1.06*0.605</f>
        <v>0.64129999999999998</v>
      </c>
      <c r="M68" s="27">
        <v>0</v>
      </c>
      <c r="N68" s="43">
        <v>9.1999999999999998E-3</v>
      </c>
      <c r="O68" s="44">
        <v>0</v>
      </c>
      <c r="P68" s="53">
        <f t="shared" si="20"/>
        <v>0.76979999999999993</v>
      </c>
      <c r="Q68" s="54">
        <f t="shared" si="21"/>
        <v>3.8489999999999996E-2</v>
      </c>
      <c r="R68" s="54">
        <f t="shared" si="22"/>
        <v>4.0414499999999999E-2</v>
      </c>
      <c r="S68" s="45">
        <f t="shared" si="23"/>
        <v>0.84870449999999997</v>
      </c>
      <c r="T68" s="46">
        <v>0.85</v>
      </c>
      <c r="U68" s="47"/>
    </row>
    <row r="69" spans="1:28" s="48" customFormat="1" x14ac:dyDescent="0.2">
      <c r="A69" s="5">
        <v>57</v>
      </c>
      <c r="B69" s="6" t="s">
        <v>43</v>
      </c>
      <c r="C69" s="5">
        <v>41</v>
      </c>
      <c r="D69" s="5">
        <v>31.5</v>
      </c>
      <c r="E69" s="43">
        <v>0</v>
      </c>
      <c r="F69" s="43">
        <f t="shared" si="26"/>
        <v>7.9500000000000001E-2</v>
      </c>
      <c r="G69" s="43">
        <v>0</v>
      </c>
      <c r="H69" s="43">
        <v>0</v>
      </c>
      <c r="I69" s="43">
        <v>0</v>
      </c>
      <c r="J69" s="43">
        <v>0</v>
      </c>
      <c r="K69" s="56">
        <f t="shared" ref="K69:K75" si="28">1.06*0.0398</f>
        <v>4.2188000000000003E-2</v>
      </c>
      <c r="L69" s="5">
        <f>1.06*0.603</f>
        <v>0.63917999999999997</v>
      </c>
      <c r="M69" s="27">
        <v>0</v>
      </c>
      <c r="N69" s="43">
        <v>9.1999999999999998E-3</v>
      </c>
      <c r="O69" s="44">
        <v>0</v>
      </c>
      <c r="P69" s="53">
        <f t="shared" si="20"/>
        <v>0.77006799999999997</v>
      </c>
      <c r="Q69" s="54">
        <f t="shared" si="21"/>
        <v>3.85034E-2</v>
      </c>
      <c r="R69" s="54">
        <f t="shared" si="22"/>
        <v>4.0428569999999997E-2</v>
      </c>
      <c r="S69" s="45">
        <f t="shared" si="23"/>
        <v>0.84899996999999994</v>
      </c>
      <c r="T69" s="46">
        <v>0.85</v>
      </c>
      <c r="U69" s="47"/>
    </row>
    <row r="70" spans="1:28" s="48" customFormat="1" x14ac:dyDescent="0.2">
      <c r="A70" s="5">
        <v>58</v>
      </c>
      <c r="B70" s="6" t="s">
        <v>44</v>
      </c>
      <c r="C70" s="5">
        <v>6</v>
      </c>
      <c r="D70" s="5">
        <v>55.5</v>
      </c>
      <c r="E70" s="43">
        <v>0</v>
      </c>
      <c r="F70" s="43">
        <f t="shared" si="26"/>
        <v>7.9500000000000001E-2</v>
      </c>
      <c r="G70" s="43">
        <v>0</v>
      </c>
      <c r="H70" s="43">
        <v>0</v>
      </c>
      <c r="I70" s="43">
        <v>0</v>
      </c>
      <c r="J70" s="43">
        <v>0</v>
      </c>
      <c r="K70" s="56">
        <f t="shared" si="28"/>
        <v>4.2188000000000003E-2</v>
      </c>
      <c r="L70" s="5">
        <f>1.06*0.6045</f>
        <v>0.64077000000000006</v>
      </c>
      <c r="M70" s="27">
        <v>0</v>
      </c>
      <c r="N70" s="43">
        <v>9.1999999999999998E-3</v>
      </c>
      <c r="O70" s="44">
        <v>0</v>
      </c>
      <c r="P70" s="53">
        <f t="shared" si="20"/>
        <v>0.77165800000000007</v>
      </c>
      <c r="Q70" s="54">
        <f t="shared" si="21"/>
        <v>3.8582900000000003E-2</v>
      </c>
      <c r="R70" s="54">
        <f t="shared" si="22"/>
        <v>4.0512045000000003E-2</v>
      </c>
      <c r="S70" s="45">
        <f t="shared" si="23"/>
        <v>0.85075294500000009</v>
      </c>
      <c r="T70" s="46">
        <v>0.85</v>
      </c>
      <c r="U70" s="47"/>
    </row>
    <row r="71" spans="1:28" s="48" customFormat="1" x14ac:dyDescent="0.2">
      <c r="A71" s="5">
        <v>59</v>
      </c>
      <c r="B71" s="6" t="s">
        <v>44</v>
      </c>
      <c r="C71" s="5">
        <v>8</v>
      </c>
      <c r="D71" s="5">
        <v>94.3</v>
      </c>
      <c r="E71" s="43">
        <v>0</v>
      </c>
      <c r="F71" s="43">
        <f t="shared" si="26"/>
        <v>7.9500000000000001E-2</v>
      </c>
      <c r="G71" s="43">
        <v>0</v>
      </c>
      <c r="H71" s="43">
        <v>0</v>
      </c>
      <c r="I71" s="43">
        <v>0</v>
      </c>
      <c r="J71" s="43">
        <v>0</v>
      </c>
      <c r="K71" s="56">
        <f t="shared" si="28"/>
        <v>4.2188000000000003E-2</v>
      </c>
      <c r="L71" s="5">
        <f>1.06*0.6015</f>
        <v>0.6375900000000001</v>
      </c>
      <c r="M71" s="27">
        <v>0</v>
      </c>
      <c r="N71" s="43">
        <v>9.1999999999999998E-3</v>
      </c>
      <c r="O71" s="44">
        <v>0</v>
      </c>
      <c r="P71" s="53">
        <f t="shared" si="20"/>
        <v>0.76847800000000011</v>
      </c>
      <c r="Q71" s="54">
        <f t="shared" si="21"/>
        <v>3.8423900000000011E-2</v>
      </c>
      <c r="R71" s="54">
        <f t="shared" si="22"/>
        <v>4.0345095000000011E-2</v>
      </c>
      <c r="S71" s="45">
        <f t="shared" si="23"/>
        <v>0.84724699500000011</v>
      </c>
      <c r="T71" s="46"/>
      <c r="U71" s="47"/>
    </row>
    <row r="72" spans="1:28" s="48" customFormat="1" x14ac:dyDescent="0.2">
      <c r="A72" s="5">
        <v>60</v>
      </c>
      <c r="B72" s="6" t="s">
        <v>41</v>
      </c>
      <c r="C72" s="5">
        <v>24</v>
      </c>
      <c r="D72" s="5">
        <v>130.05000000000001</v>
      </c>
      <c r="E72" s="43">
        <v>0</v>
      </c>
      <c r="F72" s="43">
        <f t="shared" si="26"/>
        <v>7.9500000000000001E-2</v>
      </c>
      <c r="G72" s="43">
        <v>0</v>
      </c>
      <c r="H72" s="43">
        <v>0</v>
      </c>
      <c r="I72" s="43">
        <v>0</v>
      </c>
      <c r="J72" s="43">
        <v>0</v>
      </c>
      <c r="K72" s="56">
        <f t="shared" si="28"/>
        <v>4.2188000000000003E-2</v>
      </c>
      <c r="L72" s="5">
        <f>1.06*0.602</f>
        <v>0.63812000000000002</v>
      </c>
      <c r="M72" s="27">
        <v>0</v>
      </c>
      <c r="N72" s="43">
        <v>9.1999999999999998E-3</v>
      </c>
      <c r="O72" s="44">
        <v>0</v>
      </c>
      <c r="P72" s="53">
        <f t="shared" si="20"/>
        <v>0.76900800000000002</v>
      </c>
      <c r="Q72" s="54">
        <f t="shared" si="21"/>
        <v>3.8450400000000003E-2</v>
      </c>
      <c r="R72" s="54">
        <f t="shared" si="22"/>
        <v>4.0372920000000007E-2</v>
      </c>
      <c r="S72" s="45">
        <f t="shared" si="23"/>
        <v>0.84783132000000005</v>
      </c>
      <c r="T72" s="46"/>
      <c r="U72" s="47"/>
    </row>
    <row r="73" spans="1:28" s="48" customFormat="1" x14ac:dyDescent="0.2">
      <c r="A73" s="5">
        <v>61</v>
      </c>
      <c r="B73" s="6" t="s">
        <v>41</v>
      </c>
      <c r="C73" s="5">
        <v>53</v>
      </c>
      <c r="D73" s="5">
        <v>20.100000000000001</v>
      </c>
      <c r="E73" s="43">
        <v>0</v>
      </c>
      <c r="F73" s="43">
        <f t="shared" si="26"/>
        <v>7.9500000000000001E-2</v>
      </c>
      <c r="G73" s="43">
        <v>0</v>
      </c>
      <c r="H73" s="43">
        <v>0</v>
      </c>
      <c r="I73" s="43">
        <v>0</v>
      </c>
      <c r="J73" s="43">
        <v>0</v>
      </c>
      <c r="K73" s="56">
        <f t="shared" si="28"/>
        <v>4.2188000000000003E-2</v>
      </c>
      <c r="L73" s="5">
        <f>1.06*0.602</f>
        <v>0.63812000000000002</v>
      </c>
      <c r="M73" s="27">
        <v>0</v>
      </c>
      <c r="N73" s="43">
        <v>9.1999999999999998E-3</v>
      </c>
      <c r="O73" s="44">
        <v>0</v>
      </c>
      <c r="P73" s="53">
        <f t="shared" si="20"/>
        <v>0.76900800000000002</v>
      </c>
      <c r="Q73" s="54">
        <f t="shared" si="21"/>
        <v>3.8450400000000003E-2</v>
      </c>
      <c r="R73" s="54">
        <f t="shared" si="22"/>
        <v>4.0372920000000007E-2</v>
      </c>
      <c r="S73" s="45">
        <f t="shared" si="23"/>
        <v>0.84783132000000005</v>
      </c>
      <c r="T73" s="46"/>
      <c r="U73" s="47"/>
    </row>
    <row r="74" spans="1:28" s="48" customFormat="1" x14ac:dyDescent="0.2">
      <c r="A74" s="5">
        <v>62</v>
      </c>
      <c r="B74" s="6" t="s">
        <v>41</v>
      </c>
      <c r="C74" s="5">
        <v>55</v>
      </c>
      <c r="D74" s="5">
        <v>73.3</v>
      </c>
      <c r="E74" s="43">
        <v>0</v>
      </c>
      <c r="F74" s="43">
        <f t="shared" si="26"/>
        <v>7.9500000000000001E-2</v>
      </c>
      <c r="G74" s="43">
        <v>0</v>
      </c>
      <c r="H74" s="43">
        <v>0</v>
      </c>
      <c r="I74" s="43">
        <v>0</v>
      </c>
      <c r="J74" s="43">
        <v>0</v>
      </c>
      <c r="K74" s="56">
        <f t="shared" si="28"/>
        <v>4.2188000000000003E-2</v>
      </c>
      <c r="L74" s="5">
        <f>1.06*0.603</f>
        <v>0.63917999999999997</v>
      </c>
      <c r="M74" s="27">
        <v>0</v>
      </c>
      <c r="N74" s="43">
        <v>9.1999999999999998E-3</v>
      </c>
      <c r="O74" s="44">
        <v>0</v>
      </c>
      <c r="P74" s="53">
        <f t="shared" si="20"/>
        <v>0.77006799999999997</v>
      </c>
      <c r="Q74" s="54">
        <f t="shared" si="21"/>
        <v>3.85034E-2</v>
      </c>
      <c r="R74" s="54">
        <f t="shared" si="22"/>
        <v>4.0428569999999997E-2</v>
      </c>
      <c r="S74" s="45">
        <f t="shared" si="23"/>
        <v>0.84899996999999994</v>
      </c>
      <c r="T74" s="46"/>
      <c r="U74" s="47"/>
    </row>
    <row r="75" spans="1:28" s="48" customFormat="1" x14ac:dyDescent="0.2">
      <c r="A75" s="5">
        <v>63</v>
      </c>
      <c r="B75" s="6" t="s">
        <v>41</v>
      </c>
      <c r="C75" s="5">
        <v>57</v>
      </c>
      <c r="D75" s="5">
        <v>132.6</v>
      </c>
      <c r="E75" s="43">
        <v>0</v>
      </c>
      <c r="F75" s="43">
        <f t="shared" si="26"/>
        <v>7.9500000000000001E-2</v>
      </c>
      <c r="G75" s="52">
        <v>0</v>
      </c>
      <c r="H75" s="43">
        <v>0</v>
      </c>
      <c r="I75" s="43">
        <v>0</v>
      </c>
      <c r="J75" s="43">
        <v>0</v>
      </c>
      <c r="K75" s="56">
        <f t="shared" si="28"/>
        <v>4.2188000000000003E-2</v>
      </c>
      <c r="L75" s="5">
        <f>1.06*0.602</f>
        <v>0.63812000000000002</v>
      </c>
      <c r="M75" s="27">
        <v>0</v>
      </c>
      <c r="N75" s="43">
        <v>9.1999999999999998E-3</v>
      </c>
      <c r="O75" s="44">
        <v>0</v>
      </c>
      <c r="P75" s="53">
        <f t="shared" si="20"/>
        <v>0.76900800000000002</v>
      </c>
      <c r="Q75" s="54">
        <f t="shared" si="21"/>
        <v>3.8450400000000003E-2</v>
      </c>
      <c r="R75" s="54">
        <f t="shared" si="22"/>
        <v>4.0372920000000007E-2</v>
      </c>
      <c r="S75" s="45">
        <f t="shared" si="23"/>
        <v>0.84783132000000005</v>
      </c>
      <c r="T75" s="46"/>
      <c r="U75" s="47"/>
    </row>
    <row r="76" spans="1:28" s="48" customFormat="1" x14ac:dyDescent="0.2">
      <c r="A76" s="5">
        <v>64</v>
      </c>
      <c r="B76" s="6" t="s">
        <v>37</v>
      </c>
      <c r="C76" s="5">
        <v>22</v>
      </c>
      <c r="D76" s="5">
        <v>122.1</v>
      </c>
      <c r="E76" s="43">
        <v>0</v>
      </c>
      <c r="F76" s="43">
        <f t="shared" ref="F76:F85" si="29">0.075*1.06</f>
        <v>7.9500000000000001E-2</v>
      </c>
      <c r="G76" s="43">
        <v>0</v>
      </c>
      <c r="H76" s="43">
        <v>0</v>
      </c>
      <c r="I76" s="43">
        <v>0</v>
      </c>
      <c r="J76" s="43">
        <v>0</v>
      </c>
      <c r="K76" s="56">
        <f t="shared" ref="K76:K85" si="30">1.06*0.0398</f>
        <v>4.2188000000000003E-2</v>
      </c>
      <c r="L76" s="5">
        <f>1.06*0.603</f>
        <v>0.63917999999999997</v>
      </c>
      <c r="M76" s="27">
        <v>0</v>
      </c>
      <c r="N76" s="43">
        <v>9.1999999999999998E-3</v>
      </c>
      <c r="O76" s="44">
        <v>0</v>
      </c>
      <c r="P76" s="53">
        <f>E76+F76+G76+H76+I76+K76+L76+M76+N76+O76</f>
        <v>0.77006799999999997</v>
      </c>
      <c r="Q76" s="54">
        <f>P76*5%</f>
        <v>3.85034E-2</v>
      </c>
      <c r="R76" s="54">
        <f>(Q76+P76)*5%</f>
        <v>4.0428569999999997E-2</v>
      </c>
      <c r="S76" s="45">
        <f>R76+Q76+P76</f>
        <v>0.84899996999999994</v>
      </c>
      <c r="T76" s="46"/>
      <c r="U76" s="47"/>
    </row>
    <row r="77" spans="1:28" s="48" customFormat="1" x14ac:dyDescent="0.2">
      <c r="A77" s="5">
        <v>65</v>
      </c>
      <c r="B77" s="6" t="s">
        <v>37</v>
      </c>
      <c r="C77" s="5">
        <v>23</v>
      </c>
      <c r="D77" s="5">
        <v>45.5</v>
      </c>
      <c r="E77" s="43">
        <v>0</v>
      </c>
      <c r="F77" s="43">
        <f t="shared" si="29"/>
        <v>7.9500000000000001E-2</v>
      </c>
      <c r="G77" s="43">
        <v>0</v>
      </c>
      <c r="H77" s="43">
        <v>0</v>
      </c>
      <c r="I77" s="43">
        <v>0</v>
      </c>
      <c r="J77" s="43">
        <v>0</v>
      </c>
      <c r="K77" s="56">
        <f t="shared" si="30"/>
        <v>4.2188000000000003E-2</v>
      </c>
      <c r="L77" s="5">
        <f>1.06*0.602</f>
        <v>0.63812000000000002</v>
      </c>
      <c r="M77" s="27">
        <v>0</v>
      </c>
      <c r="N77" s="43">
        <v>9.1999999999999998E-3</v>
      </c>
      <c r="O77" s="44">
        <v>0</v>
      </c>
      <c r="P77" s="53">
        <f t="shared" ref="P77:P85" si="31">E77+F77+G77+H77+I77+K77+L77+M77+N77+O77</f>
        <v>0.76900800000000002</v>
      </c>
      <c r="Q77" s="54">
        <f t="shared" ref="Q77:Q84" si="32">P77*5%</f>
        <v>3.8450400000000003E-2</v>
      </c>
      <c r="R77" s="54">
        <f t="shared" ref="R77:R84" si="33">(Q77+P77)*5%</f>
        <v>4.0372920000000007E-2</v>
      </c>
      <c r="S77" s="45">
        <f t="shared" ref="S77:S84" si="34">R77+Q77+P77</f>
        <v>0.84783132000000005</v>
      </c>
      <c r="T77" s="46"/>
      <c r="U77" s="47"/>
    </row>
    <row r="78" spans="1:28" s="48" customFormat="1" ht="13.5" customHeight="1" x14ac:dyDescent="0.2">
      <c r="A78" s="5">
        <v>66</v>
      </c>
      <c r="B78" s="6" t="s">
        <v>37</v>
      </c>
      <c r="C78" s="5">
        <v>24</v>
      </c>
      <c r="D78" s="5">
        <v>48.7</v>
      </c>
      <c r="E78" s="43">
        <v>0</v>
      </c>
      <c r="F78" s="43">
        <f t="shared" si="29"/>
        <v>7.9500000000000001E-2</v>
      </c>
      <c r="G78" s="43">
        <v>0</v>
      </c>
      <c r="H78" s="43">
        <v>0</v>
      </c>
      <c r="I78" s="43">
        <v>0</v>
      </c>
      <c r="J78" s="43">
        <v>0</v>
      </c>
      <c r="K78" s="56">
        <f t="shared" si="30"/>
        <v>4.2188000000000003E-2</v>
      </c>
      <c r="L78" s="5">
        <f>1.06*0.602</f>
        <v>0.63812000000000002</v>
      </c>
      <c r="M78" s="27">
        <v>0</v>
      </c>
      <c r="N78" s="43">
        <v>9.1999999999999998E-3</v>
      </c>
      <c r="O78" s="44">
        <v>0</v>
      </c>
      <c r="P78" s="53">
        <f t="shared" si="31"/>
        <v>0.76900800000000002</v>
      </c>
      <c r="Q78" s="54">
        <f t="shared" si="32"/>
        <v>3.8450400000000003E-2</v>
      </c>
      <c r="R78" s="54">
        <f t="shared" si="33"/>
        <v>4.0372920000000007E-2</v>
      </c>
      <c r="S78" s="45">
        <f t="shared" si="34"/>
        <v>0.84783132000000005</v>
      </c>
      <c r="T78" s="46"/>
      <c r="U78" s="50"/>
      <c r="V78" s="51"/>
      <c r="W78" s="51"/>
      <c r="X78" s="51"/>
      <c r="Y78" s="51"/>
      <c r="Z78" s="40"/>
      <c r="AA78" s="40"/>
      <c r="AB78" s="40"/>
    </row>
    <row r="79" spans="1:28" s="48" customFormat="1" x14ac:dyDescent="0.2">
      <c r="A79" s="5">
        <v>67</v>
      </c>
      <c r="B79" s="6" t="s">
        <v>37</v>
      </c>
      <c r="C79" s="5">
        <v>25</v>
      </c>
      <c r="D79" s="5">
        <v>167.7</v>
      </c>
      <c r="E79" s="43">
        <v>0</v>
      </c>
      <c r="F79" s="43">
        <f t="shared" si="29"/>
        <v>7.9500000000000001E-2</v>
      </c>
      <c r="G79" s="43">
        <v>0</v>
      </c>
      <c r="H79" s="43">
        <v>0</v>
      </c>
      <c r="I79" s="43">
        <v>0</v>
      </c>
      <c r="J79" s="43">
        <v>0</v>
      </c>
      <c r="K79" s="56">
        <f t="shared" si="30"/>
        <v>4.2188000000000003E-2</v>
      </c>
      <c r="L79" s="5">
        <f>1.06*0.604</f>
        <v>0.64024000000000003</v>
      </c>
      <c r="M79" s="27">
        <v>0</v>
      </c>
      <c r="N79" s="43">
        <v>9.1999999999999998E-3</v>
      </c>
      <c r="O79" s="44">
        <v>0</v>
      </c>
      <c r="P79" s="53">
        <f t="shared" si="31"/>
        <v>0.77112800000000004</v>
      </c>
      <c r="Q79" s="54">
        <f t="shared" si="32"/>
        <v>3.8556400000000005E-2</v>
      </c>
      <c r="R79" s="54">
        <f t="shared" si="33"/>
        <v>4.0484220000000008E-2</v>
      </c>
      <c r="S79" s="45">
        <f t="shared" si="34"/>
        <v>0.85016862000000004</v>
      </c>
      <c r="T79" s="46">
        <v>0.85</v>
      </c>
      <c r="U79" s="47"/>
    </row>
    <row r="80" spans="1:28" s="48" customFormat="1" x14ac:dyDescent="0.2">
      <c r="A80" s="5">
        <v>68</v>
      </c>
      <c r="B80" s="6" t="s">
        <v>37</v>
      </c>
      <c r="C80" s="5">
        <v>26</v>
      </c>
      <c r="D80" s="5">
        <v>105</v>
      </c>
      <c r="E80" s="43">
        <v>0</v>
      </c>
      <c r="F80" s="43">
        <f t="shared" si="29"/>
        <v>7.9500000000000001E-2</v>
      </c>
      <c r="G80" s="43">
        <v>0</v>
      </c>
      <c r="H80" s="43">
        <v>0</v>
      </c>
      <c r="I80" s="43">
        <v>0</v>
      </c>
      <c r="J80" s="43">
        <v>0</v>
      </c>
      <c r="K80" s="56">
        <f t="shared" si="30"/>
        <v>4.2188000000000003E-2</v>
      </c>
      <c r="L80" s="5">
        <f>1.06*0.604</f>
        <v>0.64024000000000003</v>
      </c>
      <c r="M80" s="27">
        <v>0</v>
      </c>
      <c r="N80" s="43">
        <v>9.1999999999999998E-3</v>
      </c>
      <c r="O80" s="44">
        <v>0</v>
      </c>
      <c r="P80" s="53">
        <f t="shared" si="31"/>
        <v>0.77112800000000004</v>
      </c>
      <c r="Q80" s="54">
        <f t="shared" si="32"/>
        <v>3.8556400000000005E-2</v>
      </c>
      <c r="R80" s="54">
        <f t="shared" si="33"/>
        <v>4.0484220000000008E-2</v>
      </c>
      <c r="S80" s="45">
        <f t="shared" si="34"/>
        <v>0.85016862000000004</v>
      </c>
      <c r="T80" s="46">
        <v>0.85</v>
      </c>
      <c r="U80" s="47"/>
    </row>
    <row r="81" spans="1:28" s="48" customFormat="1" x14ac:dyDescent="0.2">
      <c r="A81" s="5">
        <v>69</v>
      </c>
      <c r="B81" s="6" t="s">
        <v>37</v>
      </c>
      <c r="C81" s="5">
        <v>28</v>
      </c>
      <c r="D81" s="5">
        <v>32.200000000000003</v>
      </c>
      <c r="E81" s="43">
        <v>0</v>
      </c>
      <c r="F81" s="43">
        <f t="shared" si="29"/>
        <v>7.9500000000000001E-2</v>
      </c>
      <c r="G81" s="43">
        <v>0</v>
      </c>
      <c r="H81" s="43">
        <v>0</v>
      </c>
      <c r="I81" s="43">
        <v>0</v>
      </c>
      <c r="J81" s="43">
        <v>0</v>
      </c>
      <c r="K81" s="56">
        <f t="shared" si="30"/>
        <v>4.2188000000000003E-2</v>
      </c>
      <c r="L81" s="5">
        <f>1.06*0.602</f>
        <v>0.63812000000000002</v>
      </c>
      <c r="M81" s="27">
        <v>0</v>
      </c>
      <c r="N81" s="43">
        <v>9.1999999999999998E-3</v>
      </c>
      <c r="O81" s="44">
        <v>0</v>
      </c>
      <c r="P81" s="53">
        <f t="shared" si="31"/>
        <v>0.76900800000000002</v>
      </c>
      <c r="Q81" s="54">
        <f t="shared" si="32"/>
        <v>3.8450400000000003E-2</v>
      </c>
      <c r="R81" s="54">
        <f t="shared" si="33"/>
        <v>4.0372920000000007E-2</v>
      </c>
      <c r="S81" s="45">
        <f t="shared" si="34"/>
        <v>0.84783132000000005</v>
      </c>
      <c r="T81" s="46">
        <v>0.85</v>
      </c>
      <c r="U81" s="47"/>
    </row>
    <row r="82" spans="1:28" s="48" customFormat="1" x14ac:dyDescent="0.2">
      <c r="A82" s="5">
        <v>70</v>
      </c>
      <c r="B82" s="6" t="s">
        <v>37</v>
      </c>
      <c r="C82" s="5">
        <v>29</v>
      </c>
      <c r="D82" s="5">
        <v>42.1</v>
      </c>
      <c r="E82" s="43">
        <v>0</v>
      </c>
      <c r="F82" s="43">
        <f t="shared" si="29"/>
        <v>7.9500000000000001E-2</v>
      </c>
      <c r="G82" s="43">
        <v>0</v>
      </c>
      <c r="H82" s="43">
        <v>0</v>
      </c>
      <c r="I82" s="43">
        <v>0</v>
      </c>
      <c r="J82" s="43">
        <v>0</v>
      </c>
      <c r="K82" s="56">
        <f t="shared" si="30"/>
        <v>4.2188000000000003E-2</v>
      </c>
      <c r="L82" s="5">
        <f>1.06*0.602</f>
        <v>0.63812000000000002</v>
      </c>
      <c r="M82" s="27">
        <v>0</v>
      </c>
      <c r="N82" s="43">
        <v>9.1999999999999998E-3</v>
      </c>
      <c r="O82" s="44">
        <v>0</v>
      </c>
      <c r="P82" s="53">
        <f t="shared" si="31"/>
        <v>0.76900800000000002</v>
      </c>
      <c r="Q82" s="54">
        <f t="shared" si="32"/>
        <v>3.8450400000000003E-2</v>
      </c>
      <c r="R82" s="54">
        <f t="shared" si="33"/>
        <v>4.0372920000000007E-2</v>
      </c>
      <c r="S82" s="45">
        <f t="shared" si="34"/>
        <v>0.84783132000000005</v>
      </c>
      <c r="T82" s="46">
        <v>0.85</v>
      </c>
      <c r="U82" s="47"/>
    </row>
    <row r="83" spans="1:28" s="48" customFormat="1" x14ac:dyDescent="0.2">
      <c r="A83" s="5">
        <v>71</v>
      </c>
      <c r="B83" s="6" t="s">
        <v>37</v>
      </c>
      <c r="C83" s="5">
        <v>41</v>
      </c>
      <c r="D83" s="5">
        <v>65.599999999999994</v>
      </c>
      <c r="E83" s="43">
        <v>0</v>
      </c>
      <c r="F83" s="43">
        <f t="shared" si="29"/>
        <v>7.9500000000000001E-2</v>
      </c>
      <c r="G83" s="43">
        <v>0</v>
      </c>
      <c r="H83" s="43">
        <v>0</v>
      </c>
      <c r="I83" s="43">
        <v>0</v>
      </c>
      <c r="J83" s="43">
        <v>0</v>
      </c>
      <c r="K83" s="56">
        <f t="shared" si="30"/>
        <v>4.2188000000000003E-2</v>
      </c>
      <c r="L83" s="5">
        <f>1.06*0.602</f>
        <v>0.63812000000000002</v>
      </c>
      <c r="M83" s="27">
        <v>0</v>
      </c>
      <c r="N83" s="43">
        <v>9.1999999999999998E-3</v>
      </c>
      <c r="O83" s="44">
        <v>0</v>
      </c>
      <c r="P83" s="53">
        <f t="shared" si="31"/>
        <v>0.76900800000000002</v>
      </c>
      <c r="Q83" s="54">
        <f t="shared" si="32"/>
        <v>3.8450400000000003E-2</v>
      </c>
      <c r="R83" s="54">
        <f t="shared" si="33"/>
        <v>4.0372920000000007E-2</v>
      </c>
      <c r="S83" s="45">
        <f t="shared" si="34"/>
        <v>0.84783132000000005</v>
      </c>
      <c r="T83" s="46">
        <v>0.85</v>
      </c>
      <c r="U83" s="47"/>
    </row>
    <row r="84" spans="1:28" s="48" customFormat="1" x14ac:dyDescent="0.2">
      <c r="A84" s="5">
        <v>72</v>
      </c>
      <c r="B84" s="6" t="s">
        <v>39</v>
      </c>
      <c r="C84" s="5">
        <v>3</v>
      </c>
      <c r="D84" s="5">
        <v>27.8</v>
      </c>
      <c r="E84" s="43">
        <v>0</v>
      </c>
      <c r="F84" s="43">
        <f t="shared" si="29"/>
        <v>7.9500000000000001E-2</v>
      </c>
      <c r="G84" s="43">
        <v>0</v>
      </c>
      <c r="H84" s="43">
        <v>0</v>
      </c>
      <c r="I84" s="43">
        <v>0</v>
      </c>
      <c r="J84" s="43">
        <v>0</v>
      </c>
      <c r="K84" s="56">
        <f t="shared" si="30"/>
        <v>4.2188000000000003E-2</v>
      </c>
      <c r="L84" s="5">
        <f>1.06*0.649</f>
        <v>0.68794000000000011</v>
      </c>
      <c r="M84" s="27">
        <v>0</v>
      </c>
      <c r="N84" s="43">
        <v>9.1999999999999998E-3</v>
      </c>
      <c r="O84" s="44">
        <v>0</v>
      </c>
      <c r="P84" s="53">
        <f t="shared" si="31"/>
        <v>0.81882800000000011</v>
      </c>
      <c r="Q84" s="54">
        <f t="shared" si="32"/>
        <v>4.094140000000001E-2</v>
      </c>
      <c r="R84" s="54">
        <f t="shared" si="33"/>
        <v>4.2988470000000008E-2</v>
      </c>
      <c r="S84" s="45">
        <f t="shared" si="34"/>
        <v>0.90275787000000007</v>
      </c>
      <c r="T84" s="46">
        <v>0.85</v>
      </c>
      <c r="U84" s="47"/>
    </row>
    <row r="85" spans="1:28" s="48" customFormat="1" x14ac:dyDescent="0.2">
      <c r="A85" s="5">
        <v>73</v>
      </c>
      <c r="B85" s="6" t="s">
        <v>45</v>
      </c>
      <c r="C85" s="5">
        <v>63</v>
      </c>
      <c r="D85" s="5">
        <v>31.1</v>
      </c>
      <c r="E85" s="43">
        <v>0</v>
      </c>
      <c r="F85" s="43">
        <f t="shared" si="29"/>
        <v>7.9500000000000001E-2</v>
      </c>
      <c r="G85" s="43">
        <v>0</v>
      </c>
      <c r="H85" s="43">
        <v>0</v>
      </c>
      <c r="I85" s="43">
        <v>0</v>
      </c>
      <c r="J85" s="43">
        <v>0</v>
      </c>
      <c r="K85" s="56">
        <f t="shared" si="30"/>
        <v>4.2188000000000003E-2</v>
      </c>
      <c r="L85" s="5">
        <f>1.06*0.602</f>
        <v>0.63812000000000002</v>
      </c>
      <c r="M85" s="27">
        <v>0</v>
      </c>
      <c r="N85" s="43">
        <v>9.1999999999999998E-3</v>
      </c>
      <c r="O85" s="44">
        <v>0</v>
      </c>
      <c r="P85" s="53">
        <f t="shared" si="31"/>
        <v>0.76900800000000002</v>
      </c>
      <c r="Q85" s="54">
        <f>P85*5%</f>
        <v>3.8450400000000003E-2</v>
      </c>
      <c r="R85" s="54">
        <f>(Q85+P85)*5%</f>
        <v>4.0372920000000007E-2</v>
      </c>
      <c r="S85" s="45">
        <f>R85+Q85+P85</f>
        <v>0.84783132000000005</v>
      </c>
      <c r="T85" s="46">
        <v>0.85</v>
      </c>
      <c r="U85" s="47"/>
    </row>
    <row r="86" spans="1:28" s="48" customFormat="1" ht="15.75" x14ac:dyDescent="0.2">
      <c r="A86" s="17"/>
      <c r="B86" s="68" t="s">
        <v>47</v>
      </c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46">
        <v>0.9</v>
      </c>
      <c r="U86" s="47"/>
    </row>
    <row r="87" spans="1:28" s="48" customFormat="1" ht="15.75" x14ac:dyDescent="0.25">
      <c r="A87" s="65"/>
      <c r="B87" s="65"/>
      <c r="C87" s="65"/>
      <c r="D87" s="65"/>
      <c r="E87" s="65"/>
      <c r="F87" s="65"/>
      <c r="G87" s="65"/>
      <c r="H87" s="65"/>
      <c r="I87" s="10"/>
      <c r="J87" s="10"/>
      <c r="K87" s="10"/>
      <c r="L87" s="10"/>
      <c r="M87" s="10"/>
      <c r="N87" s="29"/>
      <c r="O87" s="13"/>
      <c r="P87"/>
      <c r="Q87"/>
      <c r="R87"/>
      <c r="S87" s="14"/>
      <c r="T87" s="46">
        <v>0.85</v>
      </c>
      <c r="U87" s="47"/>
    </row>
    <row r="88" spans="1:28" s="14" customFormat="1" ht="25.5" customHeight="1" x14ac:dyDescent="0.25">
      <c r="A88" s="7"/>
      <c r="B88" s="57"/>
      <c r="C88" s="57"/>
      <c r="D88" s="57"/>
      <c r="E88" s="10"/>
      <c r="F88" s="11"/>
      <c r="G88" s="12"/>
      <c r="H88" s="12"/>
      <c r="I88" s="10"/>
      <c r="J88" s="10"/>
      <c r="K88" s="10"/>
      <c r="L88" s="10"/>
      <c r="M88" s="10"/>
      <c r="N88" s="30"/>
      <c r="O88" s="22"/>
      <c r="P88" s="19"/>
      <c r="Q88" s="20"/>
      <c r="R88" s="19"/>
      <c r="S88" s="20"/>
      <c r="T88" s="32"/>
      <c r="U88" s="37"/>
      <c r="V88" s="38"/>
      <c r="W88" s="38"/>
      <c r="Y88" s="38"/>
      <c r="Z88" s="38"/>
      <c r="AA88" s="38"/>
    </row>
    <row r="89" spans="1:28" s="16" customFormat="1" ht="18" x14ac:dyDescent="0.25">
      <c r="A89" s="7"/>
      <c r="B89" s="8"/>
      <c r="C89" s="4"/>
      <c r="D89" s="9"/>
      <c r="E89" s="10"/>
      <c r="F89" s="11"/>
      <c r="G89" s="12"/>
      <c r="H89" s="12"/>
      <c r="I89" s="10"/>
      <c r="J89" s="10"/>
      <c r="K89" s="10"/>
      <c r="L89" s="10"/>
      <c r="M89" s="10"/>
      <c r="N89" s="29"/>
      <c r="O89" s="13"/>
      <c r="P89" s="20"/>
      <c r="Q89" s="20"/>
      <c r="R89" s="20"/>
      <c r="S89" s="20"/>
      <c r="T89" s="33"/>
      <c r="U89" s="35"/>
      <c r="V89" s="36"/>
      <c r="W89" s="36"/>
      <c r="X89" s="36"/>
      <c r="Y89" s="36"/>
      <c r="Z89" s="36"/>
      <c r="AA89" s="36"/>
      <c r="AB89" s="36"/>
    </row>
    <row r="90" spans="1:28" s="14" customFormat="1" ht="24" customHeight="1" x14ac:dyDescent="0.2">
      <c r="A90" s="7"/>
      <c r="B90" s="8"/>
      <c r="C90" s="4"/>
      <c r="D90" s="9"/>
      <c r="E90" s="10"/>
      <c r="F90" s="11"/>
      <c r="G90" s="12"/>
      <c r="H90" s="12"/>
      <c r="I90" s="10"/>
      <c r="J90" s="10"/>
      <c r="K90" s="10"/>
      <c r="L90" s="10"/>
      <c r="M90" s="10"/>
      <c r="N90" s="29"/>
      <c r="O90" s="13"/>
      <c r="P90"/>
      <c r="Q90"/>
      <c r="R90"/>
      <c r="S90"/>
      <c r="T90" s="32"/>
    </row>
    <row r="91" spans="1:28" s="14" customFormat="1" x14ac:dyDescent="0.2">
      <c r="A91" s="7"/>
      <c r="B91" s="8"/>
      <c r="C91" s="4"/>
      <c r="D91" s="9"/>
      <c r="E91" s="10"/>
      <c r="F91" s="11"/>
      <c r="G91" s="12"/>
      <c r="H91" s="12"/>
      <c r="I91" s="10"/>
      <c r="J91" s="10"/>
      <c r="K91" s="10"/>
      <c r="L91" s="10"/>
      <c r="M91" s="10"/>
      <c r="N91" s="29"/>
      <c r="O91" s="13"/>
      <c r="P91" s="21"/>
      <c r="Q91"/>
      <c r="R91"/>
      <c r="S91"/>
    </row>
    <row r="92" spans="1:28" s="14" customFormat="1" x14ac:dyDescent="0.2">
      <c r="A92" s="7"/>
      <c r="B92" s="8"/>
      <c r="C92" s="4"/>
      <c r="D92" s="9"/>
      <c r="E92" s="10"/>
      <c r="F92" s="11"/>
      <c r="G92" s="12"/>
      <c r="H92" s="12"/>
      <c r="I92" s="10"/>
      <c r="J92" s="10"/>
      <c r="K92" s="10"/>
      <c r="L92" s="10"/>
      <c r="M92" s="10"/>
      <c r="N92" s="29"/>
      <c r="O92" s="13"/>
      <c r="P92"/>
      <c r="Q92"/>
      <c r="R92"/>
      <c r="S92"/>
    </row>
    <row r="93" spans="1:28" s="14" customFormat="1" x14ac:dyDescent="0.2">
      <c r="A93" s="7"/>
      <c r="B93" s="8"/>
      <c r="C93" s="4"/>
      <c r="D93" s="9"/>
      <c r="E93" s="10"/>
      <c r="F93" s="11"/>
      <c r="G93" s="12"/>
      <c r="H93" s="12"/>
      <c r="I93" s="10"/>
      <c r="J93" s="10"/>
      <c r="K93" s="10"/>
      <c r="L93" s="10"/>
      <c r="M93" s="10"/>
      <c r="N93" s="29"/>
      <c r="O93" s="13"/>
      <c r="P93" s="2"/>
      <c r="Q93" s="2"/>
      <c r="R93" s="2"/>
      <c r="S93" s="3"/>
    </row>
    <row r="94" spans="1:28" s="14" customFormat="1" x14ac:dyDescent="0.2">
      <c r="A94" s="7"/>
      <c r="B94" s="8"/>
      <c r="C94" s="4"/>
      <c r="D94" s="9"/>
      <c r="E94" s="10"/>
      <c r="F94" s="11"/>
      <c r="G94" s="12"/>
      <c r="H94" s="12"/>
      <c r="I94" s="10"/>
      <c r="J94" s="10"/>
      <c r="K94" s="10"/>
      <c r="L94" s="10"/>
      <c r="M94" s="10"/>
      <c r="N94" s="29"/>
      <c r="O94" s="13"/>
      <c r="P94" s="2"/>
      <c r="Q94" s="2"/>
      <c r="R94" s="2"/>
      <c r="S94" s="3"/>
    </row>
    <row r="95" spans="1:28" s="14" customFormat="1" x14ac:dyDescent="0.2">
      <c r="A95" s="7"/>
      <c r="B95" s="8"/>
      <c r="C95" s="4"/>
      <c r="D95" s="9"/>
      <c r="E95" s="10"/>
      <c r="F95" s="11"/>
      <c r="G95" s="12"/>
      <c r="H95" s="12"/>
      <c r="I95" s="10"/>
      <c r="J95" s="10"/>
      <c r="K95" s="10"/>
      <c r="L95" s="10"/>
      <c r="M95" s="10"/>
      <c r="N95" s="29"/>
      <c r="O95" s="13"/>
      <c r="P95" s="2"/>
      <c r="Q95" s="2"/>
      <c r="R95" s="2"/>
      <c r="S95" s="3"/>
    </row>
    <row r="96" spans="1:28" s="14" customFormat="1" x14ac:dyDescent="0.2">
      <c r="A96" s="7"/>
      <c r="B96" s="8"/>
      <c r="C96" s="4"/>
      <c r="D96" s="9"/>
      <c r="E96" s="10"/>
      <c r="F96" s="11"/>
      <c r="G96" s="12"/>
      <c r="H96" s="12"/>
      <c r="I96" s="10"/>
      <c r="J96" s="10"/>
      <c r="K96" s="10"/>
      <c r="L96" s="10"/>
      <c r="M96" s="10"/>
      <c r="N96" s="29"/>
      <c r="O96" s="13"/>
      <c r="P96" s="2"/>
      <c r="Q96" s="2"/>
      <c r="R96" s="2"/>
      <c r="S96" s="3"/>
    </row>
    <row r="97" spans="1:19" s="14" customFormat="1" x14ac:dyDescent="0.2">
      <c r="A97" s="7"/>
      <c r="B97" s="8"/>
      <c r="C97" s="4"/>
      <c r="D97" s="9"/>
      <c r="E97" s="10"/>
      <c r="F97" s="11"/>
      <c r="G97" s="12"/>
      <c r="H97" s="12"/>
      <c r="I97" s="10"/>
      <c r="J97" s="10"/>
      <c r="K97" s="10"/>
      <c r="L97" s="10"/>
      <c r="M97" s="10"/>
      <c r="N97" s="29"/>
      <c r="O97" s="13"/>
      <c r="P97" s="2"/>
      <c r="Q97" s="2"/>
      <c r="R97" s="2"/>
      <c r="S97" s="3"/>
    </row>
    <row r="98" spans="1:19" s="14" customFormat="1" x14ac:dyDescent="0.2">
      <c r="A98" s="7"/>
      <c r="B98" s="8"/>
      <c r="C98" s="4"/>
      <c r="D98" s="9"/>
      <c r="E98" s="10"/>
      <c r="F98" s="11"/>
      <c r="G98" s="12"/>
      <c r="H98" s="12"/>
      <c r="I98" s="10"/>
      <c r="J98" s="10"/>
      <c r="K98" s="10"/>
      <c r="L98" s="10"/>
      <c r="M98" s="10"/>
      <c r="N98" s="29"/>
      <c r="O98" s="13"/>
      <c r="P98" s="2"/>
      <c r="Q98" s="2"/>
      <c r="R98" s="2"/>
      <c r="S98" s="3"/>
    </row>
    <row r="99" spans="1:19" s="14" customFormat="1" x14ac:dyDescent="0.2">
      <c r="A99" s="7"/>
      <c r="B99" s="8"/>
      <c r="C99" s="4"/>
      <c r="D99" s="9"/>
      <c r="E99" s="10"/>
      <c r="F99" s="11"/>
      <c r="G99" s="12"/>
      <c r="H99" s="12"/>
      <c r="I99" s="10"/>
      <c r="J99" s="10"/>
      <c r="K99" s="10"/>
      <c r="L99" s="10"/>
      <c r="M99" s="10"/>
      <c r="N99" s="29"/>
      <c r="O99" s="13"/>
      <c r="P99" s="2"/>
      <c r="Q99" s="2"/>
      <c r="R99" s="2"/>
      <c r="S99" s="3"/>
    </row>
    <row r="100" spans="1:19" s="14" customFormat="1" x14ac:dyDescent="0.2">
      <c r="A100" s="7"/>
      <c r="B100" s="8"/>
      <c r="C100" s="4"/>
      <c r="D100" s="9"/>
      <c r="E100" s="10"/>
      <c r="F100" s="11"/>
      <c r="G100" s="12"/>
      <c r="H100" s="12"/>
      <c r="I100" s="10"/>
      <c r="J100" s="10"/>
      <c r="K100" s="10"/>
      <c r="L100" s="10"/>
      <c r="M100" s="10"/>
      <c r="N100" s="29"/>
      <c r="O100" s="13"/>
      <c r="P100" s="2"/>
      <c r="Q100" s="2"/>
      <c r="R100" s="2"/>
      <c r="S100" s="3"/>
    </row>
    <row r="101" spans="1:19" s="14" customFormat="1" x14ac:dyDescent="0.2">
      <c r="A101" s="7"/>
      <c r="B101" s="8"/>
      <c r="C101" s="4"/>
      <c r="D101" s="9"/>
      <c r="E101" s="10"/>
      <c r="F101" s="11"/>
      <c r="G101" s="12"/>
      <c r="H101" s="12"/>
      <c r="I101" s="10"/>
      <c r="J101" s="10"/>
      <c r="K101" s="10"/>
      <c r="L101" s="10"/>
      <c r="M101" s="10"/>
      <c r="N101" s="29"/>
      <c r="O101" s="13"/>
      <c r="P101" s="2"/>
      <c r="Q101" s="2"/>
      <c r="R101" s="2"/>
      <c r="S101" s="3"/>
    </row>
    <row r="102" spans="1:19" s="14" customFormat="1" x14ac:dyDescent="0.2">
      <c r="A102" s="7"/>
      <c r="B102" s="8"/>
      <c r="C102" s="4"/>
      <c r="D102" s="9"/>
      <c r="E102" s="10"/>
      <c r="F102" s="11"/>
      <c r="G102" s="12"/>
      <c r="H102" s="12"/>
      <c r="I102" s="10"/>
      <c r="J102" s="10"/>
      <c r="K102" s="10"/>
      <c r="L102" s="10"/>
      <c r="M102" s="10"/>
      <c r="N102" s="29"/>
      <c r="O102" s="13"/>
      <c r="P102" s="2"/>
      <c r="Q102" s="2"/>
      <c r="R102" s="2"/>
      <c r="S102" s="3"/>
    </row>
    <row r="103" spans="1:19" s="14" customFormat="1" x14ac:dyDescent="0.2">
      <c r="A103" s="7"/>
      <c r="B103" s="8"/>
      <c r="C103" s="4"/>
      <c r="D103" s="9"/>
      <c r="E103" s="10"/>
      <c r="F103" s="11"/>
      <c r="G103" s="12"/>
      <c r="H103" s="12"/>
      <c r="I103" s="10"/>
      <c r="J103" s="10"/>
      <c r="K103" s="10"/>
      <c r="L103" s="10"/>
      <c r="M103" s="10"/>
      <c r="N103" s="29"/>
      <c r="O103" s="13"/>
      <c r="P103" s="2"/>
      <c r="Q103" s="2"/>
      <c r="R103" s="2"/>
      <c r="S103" s="3"/>
    </row>
    <row r="104" spans="1:19" s="14" customFormat="1" x14ac:dyDescent="0.2">
      <c r="A104" s="7"/>
      <c r="B104" s="8"/>
      <c r="C104" s="4"/>
      <c r="D104" s="9"/>
      <c r="E104" s="10"/>
      <c r="F104" s="11"/>
      <c r="G104" s="12"/>
      <c r="H104" s="12"/>
      <c r="I104" s="10"/>
      <c r="J104" s="10"/>
      <c r="K104" s="10"/>
      <c r="L104" s="10"/>
      <c r="M104" s="10"/>
      <c r="N104" s="29"/>
      <c r="O104" s="13"/>
      <c r="P104" s="2"/>
      <c r="Q104" s="2"/>
      <c r="R104" s="2"/>
      <c r="S104" s="3"/>
    </row>
    <row r="105" spans="1:19" s="14" customFormat="1" x14ac:dyDescent="0.2">
      <c r="A105" s="7"/>
      <c r="B105" s="8"/>
      <c r="C105" s="4"/>
      <c r="D105" s="9"/>
      <c r="E105" s="10"/>
      <c r="F105" s="11"/>
      <c r="G105" s="12"/>
      <c r="H105" s="12"/>
      <c r="I105" s="10"/>
      <c r="J105" s="10"/>
      <c r="K105" s="10"/>
      <c r="L105" s="10"/>
      <c r="M105" s="10"/>
      <c r="N105" s="29"/>
      <c r="O105" s="13"/>
      <c r="P105" s="2"/>
      <c r="Q105" s="2"/>
      <c r="R105" s="2"/>
      <c r="S105" s="3"/>
    </row>
    <row r="106" spans="1:19" s="14" customFormat="1" x14ac:dyDescent="0.2">
      <c r="A106" s="7"/>
      <c r="B106" s="8"/>
      <c r="C106" s="4"/>
      <c r="D106" s="9"/>
      <c r="E106" s="10"/>
      <c r="F106" s="11"/>
      <c r="G106" s="12"/>
      <c r="H106" s="12"/>
      <c r="I106" s="10"/>
      <c r="J106" s="10"/>
      <c r="K106" s="10"/>
      <c r="L106" s="10"/>
      <c r="M106" s="10"/>
      <c r="N106" s="29"/>
      <c r="O106" s="13"/>
      <c r="P106" s="2"/>
      <c r="Q106" s="2"/>
      <c r="R106" s="2"/>
      <c r="S106" s="3"/>
    </row>
    <row r="107" spans="1:19" s="14" customFormat="1" x14ac:dyDescent="0.2">
      <c r="A107" s="7"/>
      <c r="B107" s="8"/>
      <c r="C107" s="4"/>
      <c r="D107" s="9"/>
      <c r="E107" s="10"/>
      <c r="F107" s="11"/>
      <c r="G107" s="12"/>
      <c r="H107" s="12"/>
      <c r="I107" s="10"/>
      <c r="J107" s="10"/>
      <c r="K107" s="10"/>
      <c r="L107" s="10"/>
      <c r="M107" s="10"/>
      <c r="N107" s="29"/>
      <c r="O107" s="13"/>
      <c r="P107" s="2"/>
      <c r="Q107" s="2"/>
      <c r="R107" s="2"/>
      <c r="S107" s="3"/>
    </row>
    <row r="108" spans="1:19" s="14" customFormat="1" x14ac:dyDescent="0.2">
      <c r="A108" s="7"/>
      <c r="B108" s="8"/>
      <c r="C108" s="4"/>
      <c r="D108" s="9"/>
      <c r="E108" s="10"/>
      <c r="F108" s="11"/>
      <c r="G108" s="12"/>
      <c r="H108" s="12"/>
      <c r="I108" s="10"/>
      <c r="J108" s="10"/>
      <c r="K108" s="10"/>
      <c r="L108" s="10"/>
      <c r="M108" s="10"/>
      <c r="N108" s="29"/>
      <c r="O108" s="13"/>
      <c r="P108" s="2"/>
      <c r="Q108" s="2"/>
      <c r="R108" s="2"/>
      <c r="S108" s="3"/>
    </row>
    <row r="109" spans="1:19" s="14" customFormat="1" x14ac:dyDescent="0.2">
      <c r="A109" s="7"/>
      <c r="B109" s="8"/>
      <c r="C109" s="4"/>
      <c r="D109" s="9"/>
      <c r="E109" s="10"/>
      <c r="F109" s="11"/>
      <c r="G109" s="12"/>
      <c r="H109" s="12"/>
      <c r="I109" s="10"/>
      <c r="J109" s="10"/>
      <c r="K109" s="10"/>
      <c r="L109" s="10"/>
      <c r="M109" s="10"/>
      <c r="N109" s="29"/>
      <c r="O109" s="13"/>
      <c r="P109" s="2"/>
      <c r="Q109" s="2"/>
      <c r="R109" s="2"/>
      <c r="S109" s="3"/>
    </row>
    <row r="110" spans="1:19" s="14" customFormat="1" x14ac:dyDescent="0.2">
      <c r="A110" s="7"/>
      <c r="B110" s="8"/>
      <c r="C110" s="4"/>
      <c r="D110" s="9"/>
      <c r="E110" s="10"/>
      <c r="F110" s="11"/>
      <c r="G110" s="12"/>
      <c r="H110" s="12"/>
      <c r="I110" s="10"/>
      <c r="J110" s="10"/>
      <c r="K110" s="10"/>
      <c r="L110" s="10"/>
      <c r="M110" s="10"/>
      <c r="N110" s="29"/>
      <c r="O110" s="13"/>
      <c r="P110" s="2"/>
      <c r="Q110" s="2"/>
      <c r="R110" s="2"/>
      <c r="S110" s="3"/>
    </row>
    <row r="111" spans="1:19" s="14" customFormat="1" x14ac:dyDescent="0.2">
      <c r="A111" s="7"/>
      <c r="B111" s="8"/>
      <c r="C111" s="4"/>
      <c r="D111" s="9"/>
      <c r="E111" s="10"/>
      <c r="F111" s="11"/>
      <c r="G111" s="12"/>
      <c r="H111" s="12"/>
      <c r="I111" s="10"/>
      <c r="J111" s="10"/>
      <c r="K111" s="10"/>
      <c r="L111" s="10"/>
      <c r="M111" s="10"/>
      <c r="N111" s="29"/>
      <c r="O111" s="13"/>
      <c r="P111" s="2"/>
      <c r="Q111" s="2"/>
      <c r="R111" s="2"/>
      <c r="S111" s="3"/>
    </row>
    <row r="112" spans="1:19" s="14" customFormat="1" x14ac:dyDescent="0.2">
      <c r="A112" s="7"/>
      <c r="B112" s="8"/>
      <c r="C112" s="4"/>
      <c r="D112" s="9"/>
      <c r="E112" s="10"/>
      <c r="F112" s="11"/>
      <c r="G112" s="12"/>
      <c r="H112" s="12"/>
      <c r="I112" s="10"/>
      <c r="J112" s="10"/>
      <c r="K112" s="10"/>
      <c r="L112" s="10"/>
      <c r="M112" s="10"/>
      <c r="N112" s="29"/>
      <c r="O112" s="13"/>
      <c r="P112" s="2"/>
      <c r="Q112" s="2"/>
      <c r="R112" s="2"/>
      <c r="S112" s="3"/>
    </row>
    <row r="113" spans="1:19" s="14" customFormat="1" x14ac:dyDescent="0.2">
      <c r="A113" s="7"/>
      <c r="B113" s="8"/>
      <c r="C113" s="4"/>
      <c r="D113" s="9"/>
      <c r="E113" s="10"/>
      <c r="F113" s="11"/>
      <c r="G113" s="12"/>
      <c r="H113" s="12"/>
      <c r="I113" s="10"/>
      <c r="J113" s="10"/>
      <c r="K113" s="10"/>
      <c r="L113" s="10"/>
      <c r="M113" s="10"/>
      <c r="N113" s="29"/>
      <c r="O113" s="13"/>
      <c r="P113" s="2"/>
      <c r="Q113" s="2"/>
      <c r="R113" s="2"/>
      <c r="S113" s="3"/>
    </row>
    <row r="114" spans="1:19" s="14" customFormat="1" x14ac:dyDescent="0.2">
      <c r="A114" s="7"/>
      <c r="B114" s="8"/>
      <c r="C114" s="4"/>
      <c r="D114" s="9"/>
      <c r="E114" s="10"/>
      <c r="F114" s="11"/>
      <c r="G114" s="12"/>
      <c r="H114" s="12"/>
      <c r="I114" s="10"/>
      <c r="J114" s="10"/>
      <c r="K114" s="10"/>
      <c r="L114" s="10"/>
      <c r="M114" s="10"/>
      <c r="N114" s="29"/>
      <c r="O114" s="13"/>
      <c r="P114" s="2"/>
      <c r="Q114" s="2"/>
      <c r="R114" s="2"/>
      <c r="S114" s="3"/>
    </row>
    <row r="115" spans="1:19" s="14" customFormat="1" x14ac:dyDescent="0.2">
      <c r="A115" s="7"/>
      <c r="B115" s="8"/>
      <c r="C115" s="4"/>
      <c r="D115" s="9"/>
      <c r="E115" s="10"/>
      <c r="F115" s="11"/>
      <c r="G115" s="12"/>
      <c r="H115" s="12"/>
      <c r="I115" s="10"/>
      <c r="J115" s="10"/>
      <c r="K115" s="10"/>
      <c r="L115" s="10"/>
      <c r="M115" s="10"/>
      <c r="N115" s="29"/>
      <c r="O115" s="13"/>
      <c r="P115" s="2"/>
      <c r="Q115" s="2"/>
      <c r="R115" s="2"/>
      <c r="S115" s="3"/>
    </row>
    <row r="116" spans="1:19" s="14" customFormat="1" x14ac:dyDescent="0.2">
      <c r="A116" s="7"/>
      <c r="B116" s="8"/>
      <c r="C116" s="4"/>
      <c r="D116" s="9"/>
      <c r="E116" s="10"/>
      <c r="F116" s="11"/>
      <c r="G116" s="12"/>
      <c r="H116" s="12"/>
      <c r="I116" s="10"/>
      <c r="J116" s="10"/>
      <c r="K116" s="10"/>
      <c r="L116" s="10"/>
      <c r="M116" s="10"/>
      <c r="N116" s="29"/>
      <c r="O116" s="13"/>
      <c r="P116" s="2"/>
      <c r="Q116" s="2"/>
      <c r="R116" s="2"/>
      <c r="S116" s="3"/>
    </row>
    <row r="117" spans="1:19" s="14" customFormat="1" x14ac:dyDescent="0.2">
      <c r="A117" s="7"/>
      <c r="B117" s="8"/>
      <c r="C117" s="4"/>
      <c r="D117" s="9"/>
      <c r="E117" s="10"/>
      <c r="F117" s="11"/>
      <c r="G117" s="12"/>
      <c r="H117" s="12"/>
      <c r="I117" s="10"/>
      <c r="J117" s="10"/>
      <c r="K117" s="10"/>
      <c r="L117" s="10"/>
      <c r="M117" s="10"/>
      <c r="N117" s="29"/>
      <c r="O117" s="13"/>
      <c r="P117" s="2"/>
      <c r="Q117" s="2"/>
      <c r="R117" s="2"/>
      <c r="S117" s="3"/>
    </row>
    <row r="118" spans="1:19" s="14" customFormat="1" x14ac:dyDescent="0.2">
      <c r="A118" s="7"/>
      <c r="B118" s="8"/>
      <c r="C118" s="4"/>
      <c r="D118" s="9"/>
      <c r="E118" s="10"/>
      <c r="F118" s="11"/>
      <c r="G118" s="12"/>
      <c r="H118" s="12"/>
      <c r="I118" s="10"/>
      <c r="J118" s="10"/>
      <c r="K118" s="10"/>
      <c r="L118" s="10"/>
      <c r="M118" s="10"/>
      <c r="N118" s="29"/>
      <c r="O118" s="13"/>
      <c r="P118" s="2"/>
      <c r="Q118" s="2"/>
      <c r="R118" s="2"/>
      <c r="S118" s="3"/>
    </row>
    <row r="119" spans="1:19" s="14" customFormat="1" x14ac:dyDescent="0.2">
      <c r="A119" s="7"/>
      <c r="B119" s="8"/>
      <c r="C119" s="4"/>
      <c r="D119" s="9"/>
      <c r="E119" s="10"/>
      <c r="F119" s="11"/>
      <c r="G119" s="12"/>
      <c r="H119" s="12"/>
      <c r="I119" s="10"/>
      <c r="J119" s="10"/>
      <c r="K119" s="10"/>
      <c r="L119" s="10"/>
      <c r="M119" s="10"/>
      <c r="N119" s="29"/>
      <c r="O119" s="13"/>
      <c r="P119" s="2"/>
      <c r="Q119" s="2"/>
      <c r="R119" s="2"/>
      <c r="S119" s="3"/>
    </row>
    <row r="120" spans="1:19" s="14" customFormat="1" x14ac:dyDescent="0.2">
      <c r="A120" s="7"/>
      <c r="B120" s="8"/>
      <c r="C120" s="4"/>
      <c r="D120" s="9"/>
      <c r="E120" s="10"/>
      <c r="F120" s="11"/>
      <c r="G120" s="12"/>
      <c r="H120" s="12"/>
      <c r="I120" s="10"/>
      <c r="J120" s="10"/>
      <c r="K120" s="10"/>
      <c r="L120" s="10"/>
      <c r="M120" s="10"/>
      <c r="N120" s="29"/>
      <c r="O120" s="13"/>
      <c r="P120" s="2"/>
      <c r="Q120" s="2"/>
      <c r="R120" s="2"/>
      <c r="S120" s="3"/>
    </row>
    <row r="121" spans="1:19" s="14" customFormat="1" x14ac:dyDescent="0.2">
      <c r="A121" s="7"/>
      <c r="B121" s="8"/>
      <c r="C121" s="4"/>
      <c r="D121" s="9"/>
      <c r="E121" s="10"/>
      <c r="F121" s="11"/>
      <c r="G121" s="12"/>
      <c r="H121" s="12"/>
      <c r="I121" s="10"/>
      <c r="J121" s="10"/>
      <c r="K121" s="10"/>
      <c r="L121" s="10"/>
      <c r="M121" s="10"/>
      <c r="N121" s="29"/>
      <c r="O121" s="13"/>
      <c r="P121" s="2"/>
      <c r="Q121" s="2"/>
      <c r="R121" s="2"/>
      <c r="S121" s="3"/>
    </row>
    <row r="122" spans="1:19" s="14" customFormat="1" x14ac:dyDescent="0.2">
      <c r="A122" s="7"/>
      <c r="B122" s="8"/>
      <c r="C122" s="4"/>
      <c r="D122" s="9"/>
      <c r="E122" s="10"/>
      <c r="F122" s="11"/>
      <c r="G122" s="12"/>
      <c r="H122" s="12"/>
      <c r="I122" s="10"/>
      <c r="J122" s="10"/>
      <c r="K122" s="10"/>
      <c r="L122" s="10"/>
      <c r="M122" s="10"/>
      <c r="N122" s="29"/>
      <c r="O122" s="13"/>
      <c r="P122" s="2"/>
      <c r="Q122" s="2"/>
      <c r="R122" s="2"/>
      <c r="S122" s="3"/>
    </row>
    <row r="123" spans="1:19" s="14" customFormat="1" x14ac:dyDescent="0.2">
      <c r="A123" s="7"/>
      <c r="B123" s="8"/>
      <c r="C123" s="4"/>
      <c r="D123" s="9"/>
      <c r="E123" s="10"/>
      <c r="F123" s="11"/>
      <c r="G123" s="12"/>
      <c r="H123" s="12"/>
      <c r="I123" s="10"/>
      <c r="J123" s="10"/>
      <c r="K123" s="10"/>
      <c r="L123" s="10"/>
      <c r="M123" s="10"/>
      <c r="N123" s="29"/>
      <c r="O123" s="13"/>
      <c r="P123" s="2"/>
      <c r="Q123" s="2"/>
      <c r="R123" s="2"/>
      <c r="S123" s="3"/>
    </row>
    <row r="124" spans="1:19" s="14" customFormat="1" x14ac:dyDescent="0.2">
      <c r="A124" s="7"/>
      <c r="B124" s="8"/>
      <c r="C124" s="4"/>
      <c r="D124" s="9"/>
      <c r="E124" s="10"/>
      <c r="F124" s="11"/>
      <c r="G124" s="12"/>
      <c r="H124" s="12"/>
      <c r="I124" s="10"/>
      <c r="J124" s="10"/>
      <c r="K124" s="10"/>
      <c r="L124" s="10"/>
      <c r="M124" s="10"/>
      <c r="N124" s="29"/>
      <c r="O124" s="13"/>
      <c r="P124" s="2"/>
      <c r="Q124" s="2"/>
      <c r="R124" s="2"/>
      <c r="S124" s="3"/>
    </row>
    <row r="125" spans="1:19" s="14" customFormat="1" x14ac:dyDescent="0.2">
      <c r="A125" s="7"/>
      <c r="B125" s="8"/>
      <c r="C125" s="4"/>
      <c r="D125" s="9"/>
      <c r="E125" s="10"/>
      <c r="F125" s="11"/>
      <c r="G125" s="12"/>
      <c r="H125" s="12"/>
      <c r="I125" s="10"/>
      <c r="J125" s="10"/>
      <c r="K125" s="10"/>
      <c r="L125" s="10"/>
      <c r="M125" s="10"/>
      <c r="N125" s="29"/>
      <c r="O125" s="13"/>
      <c r="P125" s="2"/>
      <c r="Q125" s="2"/>
      <c r="R125" s="2"/>
      <c r="S125" s="3"/>
    </row>
    <row r="126" spans="1:19" s="14" customFormat="1" x14ac:dyDescent="0.2">
      <c r="A126" s="7"/>
      <c r="B126" s="8"/>
      <c r="C126" s="4"/>
      <c r="D126" s="9"/>
      <c r="E126" s="10"/>
      <c r="F126" s="11"/>
      <c r="G126" s="12"/>
      <c r="H126" s="12"/>
      <c r="I126" s="10"/>
      <c r="J126" s="10"/>
      <c r="K126" s="10"/>
      <c r="L126" s="10"/>
      <c r="M126" s="10"/>
      <c r="N126" s="29"/>
      <c r="O126" s="13"/>
      <c r="P126" s="2"/>
      <c r="Q126" s="2"/>
      <c r="R126" s="2"/>
      <c r="S126" s="3"/>
    </row>
    <row r="127" spans="1:19" s="14" customFormat="1" x14ac:dyDescent="0.2">
      <c r="A127" s="7"/>
      <c r="B127" s="8"/>
      <c r="C127" s="4"/>
      <c r="D127" s="9"/>
      <c r="E127" s="10"/>
      <c r="F127" s="11"/>
      <c r="G127" s="12"/>
      <c r="H127" s="12"/>
      <c r="I127" s="10"/>
      <c r="J127" s="10"/>
      <c r="K127" s="10"/>
      <c r="L127" s="10"/>
      <c r="M127" s="10"/>
      <c r="N127" s="29"/>
      <c r="O127" s="13"/>
      <c r="P127" s="2"/>
      <c r="Q127" s="2"/>
      <c r="R127" s="2"/>
      <c r="S127" s="3"/>
    </row>
    <row r="128" spans="1:19" s="14" customFormat="1" x14ac:dyDescent="0.2">
      <c r="A128" s="7"/>
      <c r="B128" s="8"/>
      <c r="C128" s="4"/>
      <c r="D128" s="9"/>
      <c r="E128" s="10"/>
      <c r="F128" s="11"/>
      <c r="G128" s="12"/>
      <c r="H128" s="12"/>
      <c r="I128" s="10"/>
      <c r="J128" s="10"/>
      <c r="K128" s="10"/>
      <c r="L128" s="10"/>
      <c r="M128" s="10"/>
      <c r="N128" s="29"/>
      <c r="O128" s="13"/>
      <c r="P128" s="2"/>
      <c r="Q128" s="2"/>
      <c r="R128" s="2"/>
      <c r="S128" s="3"/>
    </row>
    <row r="129" spans="1:19" s="14" customFormat="1" x14ac:dyDescent="0.2">
      <c r="A129" s="7"/>
      <c r="B129" s="8"/>
      <c r="C129" s="4"/>
      <c r="D129" s="9"/>
      <c r="E129" s="10"/>
      <c r="F129" s="11"/>
      <c r="G129" s="12"/>
      <c r="H129" s="12"/>
      <c r="I129" s="10"/>
      <c r="J129" s="10"/>
      <c r="K129" s="10"/>
      <c r="L129" s="10"/>
      <c r="M129" s="10"/>
      <c r="N129" s="29"/>
      <c r="O129" s="13"/>
      <c r="P129" s="2"/>
      <c r="Q129" s="2"/>
      <c r="R129" s="2"/>
      <c r="S129" s="3"/>
    </row>
    <row r="130" spans="1:19" s="14" customFormat="1" x14ac:dyDescent="0.2">
      <c r="A130" s="7"/>
      <c r="B130" s="8"/>
      <c r="C130" s="4"/>
      <c r="D130" s="9"/>
      <c r="E130" s="10"/>
      <c r="F130" s="11"/>
      <c r="G130" s="12"/>
      <c r="H130" s="12"/>
      <c r="I130" s="10"/>
      <c r="J130" s="10"/>
      <c r="K130" s="10"/>
      <c r="L130" s="10"/>
      <c r="M130" s="10"/>
      <c r="N130" s="29"/>
      <c r="O130" s="13"/>
      <c r="P130" s="2"/>
      <c r="Q130" s="2"/>
      <c r="R130" s="2"/>
      <c r="S130" s="3"/>
    </row>
    <row r="131" spans="1:19" s="14" customFormat="1" x14ac:dyDescent="0.2">
      <c r="A131" s="7"/>
      <c r="B131" s="8"/>
      <c r="C131" s="4"/>
      <c r="D131" s="9"/>
      <c r="E131" s="10"/>
      <c r="F131" s="11"/>
      <c r="G131" s="12"/>
      <c r="H131" s="12"/>
      <c r="I131" s="10"/>
      <c r="J131" s="10"/>
      <c r="K131" s="10"/>
      <c r="L131" s="10"/>
      <c r="M131" s="10"/>
      <c r="N131" s="29"/>
      <c r="O131" s="13"/>
      <c r="P131" s="2"/>
      <c r="Q131" s="2"/>
      <c r="R131" s="2"/>
      <c r="S131" s="3"/>
    </row>
    <row r="132" spans="1:19" s="14" customForma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31"/>
      <c r="O132"/>
      <c r="P132"/>
      <c r="Q132"/>
      <c r="R132"/>
      <c r="S132"/>
    </row>
    <row r="133" spans="1:19" s="14" customForma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31"/>
      <c r="O133"/>
      <c r="P133"/>
      <c r="Q133"/>
      <c r="R133"/>
      <c r="S133"/>
    </row>
    <row r="162" spans="1:1" x14ac:dyDescent="0.2">
      <c r="A162" t="s">
        <v>1</v>
      </c>
    </row>
  </sheetData>
  <mergeCells count="27">
    <mergeCell ref="T5:T8"/>
    <mergeCell ref="A87:H87"/>
    <mergeCell ref="A5:A8"/>
    <mergeCell ref="B5:B8"/>
    <mergeCell ref="C5:C8"/>
    <mergeCell ref="E5:O5"/>
    <mergeCell ref="O6:O8"/>
    <mergeCell ref="D5:D8"/>
    <mergeCell ref="A27:A28"/>
    <mergeCell ref="B86:S86"/>
    <mergeCell ref="O38:S38"/>
    <mergeCell ref="B88:D88"/>
    <mergeCell ref="N1:S1"/>
    <mergeCell ref="S5:S8"/>
    <mergeCell ref="E6:E8"/>
    <mergeCell ref="F6:F8"/>
    <mergeCell ref="G6:G8"/>
    <mergeCell ref="H6:H8"/>
    <mergeCell ref="I6:J7"/>
    <mergeCell ref="K6:K8"/>
    <mergeCell ref="R5:R8"/>
    <mergeCell ref="P5:P8"/>
    <mergeCell ref="B2:S3"/>
    <mergeCell ref="L6:L8"/>
    <mergeCell ref="M6:M8"/>
    <mergeCell ref="N6:N8"/>
    <mergeCell ref="Q5:Q8"/>
  </mergeCells>
  <phoneticPr fontId="5" type="noConversion"/>
  <pageMargins left="1.0236220472440944" right="0.23622047244094491" top="0.3" bottom="0.2" header="0.31496062992125984" footer="0.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Admin</cp:lastModifiedBy>
  <cp:lastPrinted>2018-06-11T05:17:57Z</cp:lastPrinted>
  <dcterms:created xsi:type="dcterms:W3CDTF">2012-07-16T05:29:15Z</dcterms:created>
  <dcterms:modified xsi:type="dcterms:W3CDTF">2018-06-18T08:28:11Z</dcterms:modified>
</cp:coreProperties>
</file>